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lacounty-my.sharepoint.com/personal/dirivera_dpw_lacounty_gov/Documents/Final Maps/Bond Calculation Spreadsheet - MASTER/Update for 2025-26/"/>
    </mc:Choice>
  </mc:AlternateContent>
  <xr:revisionPtr revIDLastSave="9" documentId="8_{FCD0185E-4D8E-413D-8E82-7EA2851BD4B9}" xr6:coauthVersionLast="47" xr6:coauthVersionMax="47" xr10:uidLastSave="{930DFFE4-4B35-4D3D-A9B5-CC206894C590}"/>
  <bookViews>
    <workbookView xWindow="20" yWindow="20" windowWidth="24940" windowHeight="16020" tabRatio="816" activeTab="1" xr2:uid="{00000000-000D-0000-FFFF-FFFF00000000}"/>
  </bookViews>
  <sheets>
    <sheet name="Title Sheet" sheetId="1" r:id="rId1"/>
    <sheet name="Street Bond and Plan Check" sheetId="2" r:id="rId2"/>
    <sheet name="Signing and Striping" sheetId="9" r:id="rId3"/>
    <sheet name="Grading Bond and Plan Check Fee" sheetId="8" r:id="rId4"/>
    <sheet name="PD&amp;MTD Bond and Plan Check Fee" sheetId="3" r:id="rId5"/>
    <sheet name="Sewer Bond and Plan Check Fee" sheetId="4" r:id="rId6"/>
    <sheet name="Water Bond and Plan Check Fee" sheetId="5" r:id="rId7"/>
    <sheet name="Regional Planning" sheetId="6" r:id="rId8"/>
    <sheet name="Instructions" sheetId="7" state="hidden" r:id="rId9"/>
  </sheets>
  <definedNames>
    <definedName name="CPI">Instructions!$D$6</definedName>
    <definedName name="CPIWAT">Instructions!$H$6</definedName>
    <definedName name="OLE_LINK1" localSheetId="4">'PD&amp;MTD Bond and Plan Check Fee'!$A$157</definedName>
    <definedName name="OLE_LINK1" localSheetId="7">'Regional Planning'!#REF!</definedName>
    <definedName name="OLE_LINK1" localSheetId="5">'Sewer Bond and Plan Check Fee'!$A$111</definedName>
    <definedName name="OLE_LINK1" localSheetId="2">'Signing and Striping'!#REF!</definedName>
    <definedName name="OLE_LINK1" localSheetId="1">'Street Bond and Plan Check'!$A$182</definedName>
    <definedName name="OLE_LINK1" localSheetId="6">'Water Bond and Plan Check Fee'!$A$90</definedName>
    <definedName name="_xlnm.Print_Area" localSheetId="4">'PD&amp;MTD Bond and Plan Check Fee'!$A$1:$G$168</definedName>
    <definedName name="_xlnm.Print_Area" localSheetId="7">'Regional Planning'!$A$1:$G$76</definedName>
    <definedName name="_xlnm.Print_Area" localSheetId="5">'Sewer Bond and Plan Check Fee'!$A$1:$G$120</definedName>
    <definedName name="_xlnm.Print_Area" localSheetId="6">'Water Bond and Plan Check Fee'!$A$1:$G$148</definedName>
    <definedName name="_xlnm.Print_Titles" localSheetId="4">'PD&amp;MTD Bond and Plan Check Fee'!$7:$8</definedName>
    <definedName name="_xlnm.Print_Titles" localSheetId="7">'Regional Planning'!$6:$7</definedName>
    <definedName name="_xlnm.Print_Titles" localSheetId="5">'Sewer Bond and Plan Check Fee'!$7:$8</definedName>
    <definedName name="_xlnm.Print_Titles" localSheetId="2">'Signing and Striping'!$7:$8</definedName>
    <definedName name="_xlnm.Print_Titles" localSheetId="1">'Street Bond and Plan Check'!$6:$7</definedName>
    <definedName name="_xlnm.Print_Titles" localSheetId="6">'Water Bond and Plan Check Fee'!$7:$8</definedName>
    <definedName name="Z_0CFDFAE3_BA5A_49B1_8AEF_ACE06B5A41A2_.wvu.PrintArea" localSheetId="4" hidden="1">'PD&amp;MTD Bond and Plan Check Fee'!$A$1:$G$171</definedName>
    <definedName name="Z_0CFDFAE3_BA5A_49B1_8AEF_ACE06B5A41A2_.wvu.PrintArea" localSheetId="7" hidden="1">'Regional Planning'!$A$1:$G$76</definedName>
    <definedName name="Z_0CFDFAE3_BA5A_49B1_8AEF_ACE06B5A41A2_.wvu.PrintArea" localSheetId="5" hidden="1">'Sewer Bond and Plan Check Fee'!$A$1:$G$120</definedName>
    <definedName name="Z_0CFDFAE3_BA5A_49B1_8AEF_ACE06B5A41A2_.wvu.PrintTitles" localSheetId="4" hidden="1">'PD&amp;MTD Bond and Plan Check Fee'!$7:$8</definedName>
    <definedName name="Z_0CFDFAE3_BA5A_49B1_8AEF_ACE06B5A41A2_.wvu.PrintTitles" localSheetId="7" hidden="1">'Regional Planning'!$6:$7</definedName>
    <definedName name="Z_0CFDFAE3_BA5A_49B1_8AEF_ACE06B5A41A2_.wvu.PrintTitles" localSheetId="5" hidden="1">'Sewer Bond and Plan Check Fee'!$7:$8</definedName>
    <definedName name="Z_0CFDFAE3_BA5A_49B1_8AEF_ACE06B5A41A2_.wvu.PrintTitles" localSheetId="2" hidden="1">'Signing and Striping'!$7:$8</definedName>
    <definedName name="Z_0CFDFAE3_BA5A_49B1_8AEF_ACE06B5A41A2_.wvu.PrintTitles" localSheetId="1" hidden="1">'Street Bond and Plan Check'!$6:$7</definedName>
    <definedName name="Z_0CFDFAE3_BA5A_49B1_8AEF_ACE06B5A41A2_.wvu.PrintTitles" localSheetId="6" hidden="1">'Water Bond and Plan Check Fee'!$7:$8</definedName>
    <definedName name="Z_0CFDFAE3_BA5A_49B1_8AEF_ACE06B5A41A2_.wvu.Rows" localSheetId="5" hidden="1">'Sewer Bond and Plan Check Fee'!$93:$93</definedName>
    <definedName name="Z_0CFDFAE3_BA5A_49B1_8AEF_ACE06B5A41A2_.wvu.Rows" localSheetId="2" hidden="1">'Signing and Striping'!#REF!</definedName>
    <definedName name="Z_0CFDFAE3_BA5A_49B1_8AEF_ACE06B5A41A2_.wvu.Rows" localSheetId="1" hidden="1">'Street Bond and Plan Check'!$76:$96</definedName>
  </definedNames>
  <calcPr calcId="191029"/>
  <customWorkbookViews>
    <customWorkbookView name="Diego Gabriel Rivera - Personal View" guid="{0CFDFAE3-BA5A-49B1-8AEF-ACE06B5A41A2}" mergeInterval="0" personalView="1" maximized="1" windowWidth="1659" windowHeight="71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6" i="2" l="1"/>
  <c r="H177" i="2" s="1"/>
  <c r="H178" i="2" s="1"/>
  <c r="H175" i="2"/>
  <c r="G104" i="3" l="1"/>
  <c r="G105" i="3"/>
  <c r="G106" i="3"/>
  <c r="G107" i="3"/>
  <c r="G108" i="3"/>
  <c r="G109" i="3"/>
  <c r="G110" i="3"/>
  <c r="G111" i="3"/>
  <c r="G112" i="3"/>
  <c r="G113" i="3"/>
  <c r="G114" i="3"/>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103" i="2"/>
  <c r="H74" i="2"/>
  <c r="H49" i="2"/>
  <c r="H38" i="2"/>
  <c r="H23" i="2"/>
  <c r="G103" i="3"/>
  <c r="G89" i="3"/>
  <c r="G78" i="3"/>
  <c r="G72" i="3"/>
  <c r="G65" i="3"/>
  <c r="G57" i="3"/>
  <c r="G47" i="3"/>
  <c r="G28" i="3"/>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G35" i="4"/>
  <c r="G27" i="4"/>
  <c r="G22" i="4"/>
  <c r="G35" i="6"/>
  <c r="G26" i="6"/>
  <c r="G18" i="6"/>
  <c r="J9" i="8"/>
  <c r="D13" i="8" s="1"/>
  <c r="D15" i="8"/>
  <c r="D18" i="8"/>
  <c r="H73" i="2"/>
  <c r="H78" i="2"/>
  <c r="H79" i="2"/>
  <c r="H80" i="2"/>
  <c r="H81" i="2"/>
  <c r="H82" i="2"/>
  <c r="H83" i="2"/>
  <c r="H85" i="2"/>
  <c r="H86" i="2"/>
  <c r="H87" i="2"/>
  <c r="H88" i="2"/>
  <c r="H89" i="2"/>
  <c r="H90" i="2"/>
  <c r="H91" i="2"/>
  <c r="H92" i="2"/>
  <c r="H93" i="2"/>
  <c r="H95" i="2"/>
  <c r="H96" i="2"/>
  <c r="H143" i="2"/>
  <c r="F73" i="2"/>
  <c r="G51" i="6"/>
  <c r="G55" i="5"/>
  <c r="G56" i="5"/>
  <c r="G57" i="5"/>
  <c r="G52" i="4"/>
  <c r="G117" i="3"/>
  <c r="G52" i="6"/>
  <c r="G53" i="6"/>
  <c r="G58" i="5"/>
  <c r="G126" i="3"/>
  <c r="G102" i="3"/>
  <c r="G115" i="3"/>
  <c r="G116" i="3"/>
  <c r="G118" i="3"/>
  <c r="G119" i="3"/>
  <c r="G120" i="3"/>
  <c r="G121" i="3"/>
  <c r="G122" i="3"/>
  <c r="G123" i="3"/>
  <c r="G124" i="3"/>
  <c r="G125" i="3"/>
  <c r="G46" i="3"/>
  <c r="G56" i="3"/>
  <c r="G71" i="3"/>
  <c r="G76" i="3"/>
  <c r="G99" i="3"/>
  <c r="G101" i="3"/>
  <c r="G40" i="4"/>
  <c r="G39" i="4"/>
  <c r="G55" i="4"/>
  <c r="F79" i="5"/>
  <c r="F80" i="5" s="1"/>
  <c r="G48" i="5"/>
  <c r="G49" i="5"/>
  <c r="G50" i="5"/>
  <c r="F85" i="5"/>
  <c r="F84" i="5"/>
  <c r="F83" i="5"/>
  <c r="F81" i="5"/>
  <c r="G61" i="5"/>
  <c r="F82" i="5"/>
  <c r="G129" i="3"/>
  <c r="B171" i="3" l="1"/>
  <c r="C21" i="3" s="1"/>
  <c r="G21" i="3" s="1"/>
  <c r="D16" i="8"/>
  <c r="D22" i="8" s="1"/>
  <c r="F37" i="8"/>
  <c r="D28" i="8"/>
  <c r="D6" i="7"/>
  <c r="C124" i="2" s="1"/>
  <c r="J29" i="8"/>
  <c r="H6" i="7"/>
  <c r="C20" i="5" s="1"/>
  <c r="G20" i="5" s="1"/>
  <c r="J13" i="8"/>
  <c r="D29" i="8"/>
  <c r="J28" i="8"/>
  <c r="F86" i="5"/>
  <c r="C37" i="3" l="1"/>
  <c r="G37" i="3" s="1"/>
  <c r="C83" i="3"/>
  <c r="G83" i="3" s="1"/>
  <c r="C41" i="3"/>
  <c r="G41" i="3" s="1"/>
  <c r="C84" i="3"/>
  <c r="G84" i="3" s="1"/>
  <c r="C25" i="3"/>
  <c r="G25" i="3" s="1"/>
  <c r="C86" i="3"/>
  <c r="G86" i="3" s="1"/>
  <c r="C18" i="3"/>
  <c r="G18" i="3" s="1"/>
  <c r="G128" i="3" s="1"/>
  <c r="C34" i="3"/>
  <c r="G34" i="3" s="1"/>
  <c r="C62" i="3"/>
  <c r="G62" i="3" s="1"/>
  <c r="C64" i="3"/>
  <c r="G64" i="3" s="1"/>
  <c r="C42" i="3"/>
  <c r="G42" i="3" s="1"/>
  <c r="C38" i="3"/>
  <c r="G38" i="3" s="1"/>
  <c r="C27" i="3"/>
  <c r="G27" i="3" s="1"/>
  <c r="C16" i="3"/>
  <c r="G16" i="3" s="1"/>
  <c r="C69" i="3"/>
  <c r="G69" i="3" s="1"/>
  <c r="C24" i="3"/>
  <c r="G24" i="3" s="1"/>
  <c r="C100" i="3"/>
  <c r="G100" i="3" s="1"/>
  <c r="C60" i="3"/>
  <c r="G60" i="3" s="1"/>
  <c r="C92" i="3"/>
  <c r="G92" i="3" s="1"/>
  <c r="C33" i="3"/>
  <c r="G33" i="3" s="1"/>
  <c r="C44" i="3"/>
  <c r="G44" i="3" s="1"/>
  <c r="C93" i="3"/>
  <c r="G93" i="3" s="1"/>
  <c r="C22" i="3"/>
  <c r="G22" i="3" s="1"/>
  <c r="C19" i="3"/>
  <c r="G19" i="3" s="1"/>
  <c r="C96" i="3"/>
  <c r="G96" i="3" s="1"/>
  <c r="C68" i="3"/>
  <c r="G68" i="3" s="1"/>
  <c r="C85" i="3"/>
  <c r="G85" i="3" s="1"/>
  <c r="C31" i="3"/>
  <c r="G31" i="3" s="1"/>
  <c r="C54" i="3"/>
  <c r="G54" i="3" s="1"/>
  <c r="C77" i="3"/>
  <c r="G77" i="3" s="1"/>
  <c r="C39" i="3"/>
  <c r="G39" i="3" s="1"/>
  <c r="C70" i="3"/>
  <c r="G70" i="3" s="1"/>
  <c r="C94" i="3"/>
  <c r="G94" i="3" s="1"/>
  <c r="C23" i="3"/>
  <c r="G23" i="3" s="1"/>
  <c r="C32" i="3"/>
  <c r="G32" i="3" s="1"/>
  <c r="C17" i="3"/>
  <c r="G17" i="3" s="1"/>
  <c r="C81" i="3"/>
  <c r="G81" i="3" s="1"/>
  <c r="C26" i="3"/>
  <c r="G26" i="3" s="1"/>
  <c r="C40" i="3"/>
  <c r="G40" i="3" s="1"/>
  <c r="C52" i="3"/>
  <c r="G52" i="3" s="1"/>
  <c r="C98" i="3"/>
  <c r="G98" i="3" s="1"/>
  <c r="C61" i="3"/>
  <c r="G61" i="3" s="1"/>
  <c r="C95" i="3"/>
  <c r="G95" i="3" s="1"/>
  <c r="C87" i="3"/>
  <c r="G87" i="3" s="1"/>
  <c r="C53" i="3"/>
  <c r="G53" i="3" s="1"/>
  <c r="C55" i="3"/>
  <c r="G55" i="3" s="1"/>
  <c r="C51" i="3"/>
  <c r="G51" i="3" s="1"/>
  <c r="C63" i="3"/>
  <c r="G63" i="3" s="1"/>
  <c r="C20" i="3"/>
  <c r="G20" i="3" s="1"/>
  <c r="C97" i="3"/>
  <c r="G97" i="3" s="1"/>
  <c r="C43" i="3"/>
  <c r="G43" i="3" s="1"/>
  <c r="C35" i="3"/>
  <c r="G35" i="3" s="1"/>
  <c r="C36" i="3"/>
  <c r="G36" i="3" s="1"/>
  <c r="C82" i="3"/>
  <c r="G82" i="3" s="1"/>
  <c r="C75" i="3"/>
  <c r="G75" i="3" s="1"/>
  <c r="C88" i="3"/>
  <c r="G88" i="3" s="1"/>
  <c r="C15" i="3"/>
  <c r="G15" i="3" s="1"/>
  <c r="C50" i="3"/>
  <c r="G50" i="3" s="1"/>
  <c r="C26" i="2"/>
  <c r="H26" i="2" s="1"/>
  <c r="C16" i="2"/>
  <c r="J31" i="8"/>
  <c r="D37" i="8" s="1"/>
  <c r="D39" i="8" s="1"/>
  <c r="J39" i="8" s="1"/>
  <c r="C43" i="6"/>
  <c r="G43" i="6" s="1"/>
  <c r="F25" i="9"/>
  <c r="C30" i="2"/>
  <c r="H30" i="2" s="1"/>
  <c r="F108" i="2"/>
  <c r="C44" i="9"/>
  <c r="H44" i="9" s="1"/>
  <c r="C30" i="9"/>
  <c r="H30" i="9" s="1"/>
  <c r="F33" i="2"/>
  <c r="C17" i="2"/>
  <c r="H17" i="2" s="1"/>
  <c r="C64" i="9"/>
  <c r="H64" i="9" s="1"/>
  <c r="F27" i="9"/>
  <c r="C16" i="6"/>
  <c r="G16" i="6" s="1"/>
  <c r="F18" i="2"/>
  <c r="F64" i="9"/>
  <c r="C37" i="9"/>
  <c r="H37" i="9" s="1"/>
  <c r="F48" i="2"/>
  <c r="F47" i="9"/>
  <c r="F71" i="2"/>
  <c r="F63" i="2"/>
  <c r="C52" i="9"/>
  <c r="H52" i="9" s="1"/>
  <c r="C42" i="6"/>
  <c r="G42" i="6" s="1"/>
  <c r="F42" i="2"/>
  <c r="C25" i="4"/>
  <c r="G25" i="4" s="1"/>
  <c r="F26" i="9"/>
  <c r="C42" i="9"/>
  <c r="H42" i="9" s="1"/>
  <c r="F44" i="9"/>
  <c r="F124" i="2"/>
  <c r="F75" i="9"/>
  <c r="C36" i="2"/>
  <c r="H36" i="2" s="1"/>
  <c r="C33" i="5"/>
  <c r="G33" i="5" s="1"/>
  <c r="C32" i="5"/>
  <c r="G32" i="5" s="1"/>
  <c r="C39" i="5"/>
  <c r="G39" i="5" s="1"/>
  <c r="C40" i="5"/>
  <c r="G40" i="5" s="1"/>
  <c r="C18" i="5"/>
  <c r="G18" i="5" s="1"/>
  <c r="C22" i="5"/>
  <c r="G22" i="5" s="1"/>
  <c r="C52" i="5"/>
  <c r="G52" i="5" s="1"/>
  <c r="C41" i="5"/>
  <c r="G41" i="5" s="1"/>
  <c r="C51" i="5"/>
  <c r="G51" i="5" s="1"/>
  <c r="C46" i="5"/>
  <c r="G46" i="5" s="1"/>
  <c r="C34" i="5"/>
  <c r="G34" i="5" s="1"/>
  <c r="C19" i="5"/>
  <c r="G19" i="5" s="1"/>
  <c r="C24" i="5"/>
  <c r="G24" i="5" s="1"/>
  <c r="C23" i="5"/>
  <c r="G23" i="5" s="1"/>
  <c r="C28" i="5"/>
  <c r="G28" i="5" s="1"/>
  <c r="C27" i="5"/>
  <c r="G27" i="5" s="1"/>
  <c r="C38" i="5"/>
  <c r="G38" i="5" s="1"/>
  <c r="C53" i="5"/>
  <c r="G53" i="5" s="1"/>
  <c r="C17" i="5"/>
  <c r="G17" i="5" s="1"/>
  <c r="C44" i="5"/>
  <c r="G44" i="5" s="1"/>
  <c r="C29" i="5"/>
  <c r="G29" i="5" s="1"/>
  <c r="C45" i="5"/>
  <c r="G45" i="5" s="1"/>
  <c r="C21" i="5"/>
  <c r="G21" i="5" s="1"/>
  <c r="C54" i="5"/>
  <c r="G54" i="5" s="1"/>
  <c r="C16" i="5"/>
  <c r="G16" i="5" s="1"/>
  <c r="C47" i="5"/>
  <c r="G47" i="5" s="1"/>
  <c r="C42" i="4"/>
  <c r="G42" i="4" s="1"/>
  <c r="C21" i="2"/>
  <c r="H21" i="2" s="1"/>
  <c r="C14" i="6"/>
  <c r="G14" i="6" s="1"/>
  <c r="C47" i="9"/>
  <c r="H47" i="9" s="1"/>
  <c r="C20" i="2"/>
  <c r="H20" i="2" s="1"/>
  <c r="C32" i="4"/>
  <c r="G32" i="4" s="1"/>
  <c r="C111" i="2"/>
  <c r="H111" i="2" s="1"/>
  <c r="F48" i="9"/>
  <c r="F22" i="2"/>
  <c r="C20" i="4"/>
  <c r="G20" i="4" s="1"/>
  <c r="C47" i="6"/>
  <c r="G47" i="6" s="1"/>
  <c r="C54" i="9"/>
  <c r="H54" i="9" s="1"/>
  <c r="C42" i="2"/>
  <c r="H42" i="2" s="1"/>
  <c r="C31" i="4"/>
  <c r="G31" i="4" s="1"/>
  <c r="F60" i="2"/>
  <c r="C29" i="6"/>
  <c r="G29" i="6" s="1"/>
  <c r="F69" i="9"/>
  <c r="C61" i="9"/>
  <c r="H61" i="9" s="1"/>
  <c r="C52" i="2"/>
  <c r="H52" i="2" s="1"/>
  <c r="F30" i="2"/>
  <c r="F21" i="9"/>
  <c r="F43" i="9"/>
  <c r="C68" i="9"/>
  <c r="H68" i="9" s="1"/>
  <c r="C59" i="2"/>
  <c r="H59" i="2" s="1"/>
  <c r="C59" i="9"/>
  <c r="H59" i="9" s="1"/>
  <c r="C58" i="2"/>
  <c r="H58" i="2" s="1"/>
  <c r="F55" i="2"/>
  <c r="F37" i="9"/>
  <c r="C24" i="6"/>
  <c r="G24" i="6" s="1"/>
  <c r="C30" i="6"/>
  <c r="G30" i="6" s="1"/>
  <c r="C66" i="9"/>
  <c r="H66" i="9" s="1"/>
  <c r="C57" i="2"/>
  <c r="H57" i="2" s="1"/>
  <c r="F34" i="9"/>
  <c r="F28" i="2"/>
  <c r="F113" i="2"/>
  <c r="F72" i="9"/>
  <c r="C73" i="9"/>
  <c r="H73" i="9" s="1"/>
  <c r="C64" i="2"/>
  <c r="H64" i="2" s="1"/>
  <c r="C19" i="2"/>
  <c r="H19" i="2" s="1"/>
  <c r="F116" i="2"/>
  <c r="F66" i="9"/>
  <c r="F17" i="2"/>
  <c r="F31" i="9"/>
  <c r="C38" i="9"/>
  <c r="H38" i="9" s="1"/>
  <c r="C19" i="9"/>
  <c r="H19" i="9" s="1"/>
  <c r="C81" i="9"/>
  <c r="H81" i="9" s="1"/>
  <c r="F68" i="2"/>
  <c r="C26" i="4"/>
  <c r="G26" i="4" s="1"/>
  <c r="F67" i="2"/>
  <c r="F71" i="9"/>
  <c r="F78" i="9"/>
  <c r="C46" i="9"/>
  <c r="H46" i="9" s="1"/>
  <c r="C31" i="2"/>
  <c r="H31" i="2" s="1"/>
  <c r="F61" i="9"/>
  <c r="F37" i="2"/>
  <c r="F79" i="9"/>
  <c r="C38" i="6"/>
  <c r="G38" i="6" s="1"/>
  <c r="C53" i="9"/>
  <c r="H53" i="9" s="1"/>
  <c r="C41" i="2"/>
  <c r="H41" i="2" s="1"/>
  <c r="F56" i="2"/>
  <c r="C17" i="6"/>
  <c r="G17" i="6" s="1"/>
  <c r="F32" i="9"/>
  <c r="C60" i="9"/>
  <c r="H60" i="9" s="1"/>
  <c r="C48" i="2"/>
  <c r="H48" i="2" s="1"/>
  <c r="C51" i="9"/>
  <c r="H51" i="9" s="1"/>
  <c r="C47" i="2"/>
  <c r="H47" i="2" s="1"/>
  <c r="F27" i="2"/>
  <c r="F44" i="2"/>
  <c r="C48" i="4"/>
  <c r="G48" i="4" s="1"/>
  <c r="C23" i="6"/>
  <c r="G23" i="6" s="1"/>
  <c r="C58" i="9"/>
  <c r="H58" i="9" s="1"/>
  <c r="C46" i="2"/>
  <c r="H46" i="2" s="1"/>
  <c r="C41" i="6"/>
  <c r="G41" i="6" s="1"/>
  <c r="F100" i="2"/>
  <c r="C32" i="6"/>
  <c r="G32" i="6" s="1"/>
  <c r="C46" i="6"/>
  <c r="G46" i="6" s="1"/>
  <c r="C65" i="9"/>
  <c r="H65" i="9" s="1"/>
  <c r="C56" i="2"/>
  <c r="H56" i="2" s="1"/>
  <c r="C17" i="4"/>
  <c r="G17" i="4" s="1"/>
  <c r="C37" i="2"/>
  <c r="H37" i="2" s="1"/>
  <c r="F17" i="9"/>
  <c r="F112" i="2"/>
  <c r="F55" i="9"/>
  <c r="C47" i="4"/>
  <c r="G47" i="4" s="1"/>
  <c r="C50" i="9"/>
  <c r="H50" i="9" s="1"/>
  <c r="C35" i="2"/>
  <c r="H35" i="2" s="1"/>
  <c r="C41" i="4"/>
  <c r="G41" i="4" s="1"/>
  <c r="C45" i="2"/>
  <c r="H45" i="2" s="1"/>
  <c r="F130" i="2"/>
  <c r="C72" i="9"/>
  <c r="H72" i="9" s="1"/>
  <c r="F107" i="2"/>
  <c r="F70" i="9"/>
  <c r="C70" i="2"/>
  <c r="H70" i="2" s="1"/>
  <c r="F72" i="2"/>
  <c r="C39" i="9"/>
  <c r="H39" i="9" s="1"/>
  <c r="F70" i="2"/>
  <c r="C46" i="4"/>
  <c r="G46" i="4" s="1"/>
  <c r="F66" i="2"/>
  <c r="F40" i="9"/>
  <c r="C33" i="4"/>
  <c r="G33" i="4" s="1"/>
  <c r="C29" i="9"/>
  <c r="H29" i="9" s="1"/>
  <c r="C112" i="2"/>
  <c r="H112" i="2" s="1"/>
  <c r="C39" i="6"/>
  <c r="G39" i="6" s="1"/>
  <c r="F19" i="2"/>
  <c r="C15" i="6"/>
  <c r="G15" i="6" s="1"/>
  <c r="F29" i="9"/>
  <c r="C36" i="9"/>
  <c r="H36" i="9" s="1"/>
  <c r="H16" i="2"/>
  <c r="F59" i="2"/>
  <c r="F30" i="9"/>
  <c r="F50" i="9"/>
  <c r="C43" i="9"/>
  <c r="H43" i="9" s="1"/>
  <c r="C29" i="2"/>
  <c r="H29" i="2" s="1"/>
  <c r="C34" i="9"/>
  <c r="H34" i="9" s="1"/>
  <c r="C28" i="2"/>
  <c r="H28" i="2" s="1"/>
  <c r="F51" i="9"/>
  <c r="F106" i="2"/>
  <c r="F38" i="9"/>
  <c r="F58" i="9"/>
  <c r="C41" i="9"/>
  <c r="H41" i="9" s="1"/>
  <c r="C27" i="2"/>
  <c r="H27" i="2" s="1"/>
  <c r="F36" i="9"/>
  <c r="F43" i="2"/>
  <c r="F59" i="9"/>
  <c r="C51" i="4"/>
  <c r="G51" i="4" s="1"/>
  <c r="C49" i="9"/>
  <c r="H49" i="9" s="1"/>
  <c r="C34" i="2"/>
  <c r="H34" i="2" s="1"/>
  <c r="F20" i="2"/>
  <c r="F102" i="2"/>
  <c r="F41" i="2"/>
  <c r="C106" i="2"/>
  <c r="H106" i="2" s="1"/>
  <c r="C21" i="9"/>
  <c r="H21" i="9" s="1"/>
  <c r="F33" i="9"/>
  <c r="C18" i="4"/>
  <c r="G18" i="4" s="1"/>
  <c r="F41" i="9"/>
  <c r="F54" i="9"/>
  <c r="F62" i="9"/>
  <c r="C40" i="9"/>
  <c r="H40" i="9" s="1"/>
  <c r="C22" i="2"/>
  <c r="H22" i="2" s="1"/>
  <c r="C118" i="2"/>
  <c r="H118" i="2" s="1"/>
  <c r="F18" i="9"/>
  <c r="F69" i="2"/>
  <c r="C45" i="4"/>
  <c r="G45" i="4" s="1"/>
  <c r="C24" i="9"/>
  <c r="H24" i="9" s="1"/>
  <c r="C25" i="6"/>
  <c r="G25" i="6" s="1"/>
  <c r="F36" i="2"/>
  <c r="C35" i="9"/>
  <c r="H35" i="9" s="1"/>
  <c r="C109" i="2"/>
  <c r="H109" i="2" s="1"/>
  <c r="F115" i="2"/>
  <c r="F109" i="2"/>
  <c r="F154" i="2"/>
  <c r="C80" i="9"/>
  <c r="H80" i="9" s="1"/>
  <c r="C40" i="6"/>
  <c r="G40" i="6" s="1"/>
  <c r="C71" i="2"/>
  <c r="H71" i="2" s="1"/>
  <c r="C44" i="6"/>
  <c r="G44" i="6" s="1"/>
  <c r="C107" i="2"/>
  <c r="H107" i="2" s="1"/>
  <c r="F65" i="2"/>
  <c r="F52" i="9"/>
  <c r="C79" i="9"/>
  <c r="H79" i="9" s="1"/>
  <c r="C69" i="2"/>
  <c r="H69" i="2" s="1"/>
  <c r="F110" i="2"/>
  <c r="C56" i="9"/>
  <c r="H56" i="9" s="1"/>
  <c r="F35" i="2"/>
  <c r="C49" i="4"/>
  <c r="G49" i="4" s="1"/>
  <c r="G29" i="8"/>
  <c r="C102" i="2"/>
  <c r="H102" i="2" s="1"/>
  <c r="F29" i="2"/>
  <c r="F58" i="2"/>
  <c r="C33" i="6"/>
  <c r="G33" i="6" s="1"/>
  <c r="F81" i="9"/>
  <c r="C28" i="9"/>
  <c r="H28" i="9" s="1"/>
  <c r="C114" i="2"/>
  <c r="H114" i="2" s="1"/>
  <c r="C20" i="9"/>
  <c r="H20" i="9" s="1"/>
  <c r="C115" i="2"/>
  <c r="H115" i="2" s="1"/>
  <c r="C30" i="4"/>
  <c r="G30" i="4" s="1"/>
  <c r="F118" i="2"/>
  <c r="C45" i="6"/>
  <c r="G45" i="6" s="1"/>
  <c r="F65" i="9"/>
  <c r="C18" i="9"/>
  <c r="H18" i="9" s="1"/>
  <c r="F54" i="2"/>
  <c r="F57" i="9"/>
  <c r="F46" i="2"/>
  <c r="F49" i="9"/>
  <c r="C22" i="6"/>
  <c r="G22" i="6" s="1"/>
  <c r="C32" i="9"/>
  <c r="H32" i="9" s="1"/>
  <c r="C110" i="2"/>
  <c r="H110" i="2" s="1"/>
  <c r="C31" i="6"/>
  <c r="G31" i="6" s="1"/>
  <c r="C48" i="9"/>
  <c r="H48" i="9" s="1"/>
  <c r="C62" i="2"/>
  <c r="H62" i="2" s="1"/>
  <c r="C71" i="9"/>
  <c r="H71" i="9" s="1"/>
  <c r="G28" i="8"/>
  <c r="C50" i="6"/>
  <c r="G50" i="6" s="1"/>
  <c r="C15" i="4"/>
  <c r="G15" i="4" s="1"/>
  <c r="C113" i="2"/>
  <c r="H113" i="2" s="1"/>
  <c r="C50" i="4"/>
  <c r="G50" i="4" s="1"/>
  <c r="C108" i="2"/>
  <c r="H108" i="2" s="1"/>
  <c r="C27" i="9"/>
  <c r="H27" i="9" s="1"/>
  <c r="F32" i="2"/>
  <c r="F77" i="9"/>
  <c r="C33" i="9"/>
  <c r="H33" i="9" s="1"/>
  <c r="C116" i="2"/>
  <c r="H116" i="2" s="1"/>
  <c r="F42" i="9"/>
  <c r="C31" i="9"/>
  <c r="H31" i="9" s="1"/>
  <c r="C54" i="2"/>
  <c r="H54" i="2" s="1"/>
  <c r="F63" i="9"/>
  <c r="C17" i="9"/>
  <c r="H17" i="9" s="1"/>
  <c r="C16" i="4"/>
  <c r="G16" i="4" s="1"/>
  <c r="C63" i="9"/>
  <c r="H63" i="9" s="1"/>
  <c r="C43" i="2"/>
  <c r="H43" i="2" s="1"/>
  <c r="F46" i="9"/>
  <c r="C55" i="2"/>
  <c r="H55" i="2" s="1"/>
  <c r="F67" i="9"/>
  <c r="F21" i="2"/>
  <c r="F19" i="9"/>
  <c r="F35" i="9"/>
  <c r="C70" i="9"/>
  <c r="H70" i="9" s="1"/>
  <c r="C61" i="2"/>
  <c r="H61" i="2" s="1"/>
  <c r="F99" i="2"/>
  <c r="C33" i="2"/>
  <c r="H33" i="2" s="1"/>
  <c r="F61" i="2"/>
  <c r="F56" i="9"/>
  <c r="C78" i="9"/>
  <c r="H78" i="9" s="1"/>
  <c r="C68" i="2"/>
  <c r="H68" i="2" s="1"/>
  <c r="F111" i="2"/>
  <c r="F31" i="2"/>
  <c r="C34" i="4"/>
  <c r="G34" i="4" s="1"/>
  <c r="F16" i="2"/>
  <c r="C101" i="2"/>
  <c r="H101" i="2" s="1"/>
  <c r="C76" i="9"/>
  <c r="H76" i="9" s="1"/>
  <c r="C100" i="2"/>
  <c r="H100" i="2" s="1"/>
  <c r="C18" i="2"/>
  <c r="H18" i="2" s="1"/>
  <c r="F24" i="9"/>
  <c r="F45" i="2"/>
  <c r="C21" i="4"/>
  <c r="G21" i="4" s="1"/>
  <c r="C130" i="2"/>
  <c r="H130" i="2" s="1"/>
  <c r="H131" i="2" s="1"/>
  <c r="C99" i="2"/>
  <c r="H99" i="2" s="1"/>
  <c r="F53" i="2"/>
  <c r="F26" i="2"/>
  <c r="F114" i="2"/>
  <c r="C49" i="6"/>
  <c r="G49" i="6" s="1"/>
  <c r="F28" i="9"/>
  <c r="C26" i="9"/>
  <c r="H26" i="9" s="1"/>
  <c r="C117" i="2"/>
  <c r="H117" i="2" s="1"/>
  <c r="C57" i="9"/>
  <c r="H57" i="9" s="1"/>
  <c r="C154" i="2"/>
  <c r="H154" i="2" s="1"/>
  <c r="H156" i="2" s="1"/>
  <c r="H160" i="2" s="1"/>
  <c r="C25" i="9"/>
  <c r="H25" i="9" s="1"/>
  <c r="F62" i="2"/>
  <c r="C21" i="6"/>
  <c r="G21" i="6" s="1"/>
  <c r="C63" i="2"/>
  <c r="H63" i="2" s="1"/>
  <c r="C34" i="6"/>
  <c r="G34" i="6" s="1"/>
  <c r="C55" i="9"/>
  <c r="H55" i="9" s="1"/>
  <c r="C32" i="2"/>
  <c r="H32" i="2" s="1"/>
  <c r="F80" i="9"/>
  <c r="C44" i="2"/>
  <c r="H44" i="2" s="1"/>
  <c r="F73" i="9"/>
  <c r="F64" i="2"/>
  <c r="C48" i="6"/>
  <c r="G48" i="6" s="1"/>
  <c r="F53" i="9"/>
  <c r="C62" i="9"/>
  <c r="H62" i="9" s="1"/>
  <c r="C53" i="2"/>
  <c r="H53" i="2" s="1"/>
  <c r="F101" i="2"/>
  <c r="F34" i="2"/>
  <c r="F20" i="9"/>
  <c r="F39" i="9"/>
  <c r="C69" i="9"/>
  <c r="H69" i="9" s="1"/>
  <c r="C60" i="2"/>
  <c r="H60" i="2" s="1"/>
  <c r="C67" i="6"/>
  <c r="G67" i="6" s="1"/>
  <c r="G69" i="6" s="1"/>
  <c r="G70" i="6" s="1"/>
  <c r="G71" i="6" s="1"/>
  <c r="G72" i="6" s="1"/>
  <c r="F57" i="2"/>
  <c r="F60" i="9"/>
  <c r="C77" i="9"/>
  <c r="H77" i="9" s="1"/>
  <c r="C67" i="2"/>
  <c r="H67" i="2" s="1"/>
  <c r="C67" i="9"/>
  <c r="H67" i="9" s="1"/>
  <c r="C66" i="2"/>
  <c r="H66" i="2" s="1"/>
  <c r="C19" i="4"/>
  <c r="G19" i="4" s="1"/>
  <c r="C43" i="4"/>
  <c r="G43" i="4" s="1"/>
  <c r="F117" i="2"/>
  <c r="F68" i="9"/>
  <c r="C75" i="9"/>
  <c r="H75" i="9" s="1"/>
  <c r="C65" i="2"/>
  <c r="H65" i="2" s="1"/>
  <c r="C44" i="4"/>
  <c r="G44" i="4" s="1"/>
  <c r="F47" i="2"/>
  <c r="F52" i="2"/>
  <c r="F76" i="9"/>
  <c r="H124" i="2"/>
  <c r="H125" i="2" s="1"/>
  <c r="C72" i="2"/>
  <c r="H72" i="2" s="1"/>
  <c r="G130" i="3" l="1"/>
  <c r="G131" i="3" s="1"/>
  <c r="G133" i="3"/>
  <c r="H135" i="2"/>
  <c r="G73" i="6"/>
  <c r="G60" i="5"/>
  <c r="G62" i="5" s="1"/>
  <c r="H157" i="2"/>
  <c r="H158" i="2" s="1"/>
  <c r="H159" i="2" s="1"/>
  <c r="H161" i="2" s="1"/>
  <c r="H119" i="2"/>
  <c r="H166" i="2" s="1"/>
  <c r="H167" i="2" s="1"/>
  <c r="G54" i="4"/>
  <c r="G55" i="6"/>
  <c r="G56" i="6" s="1"/>
  <c r="G57" i="6" s="1"/>
  <c r="G58" i="6" s="1"/>
  <c r="G59" i="6" s="1"/>
  <c r="H82" i="9"/>
  <c r="H138" i="2" s="1"/>
  <c r="H137" i="2"/>
  <c r="G132" i="3" l="1"/>
  <c r="G56" i="4"/>
  <c r="G57" i="4" s="1"/>
  <c r="G58" i="4" s="1"/>
  <c r="F65" i="4" s="1"/>
  <c r="F66" i="4" s="1"/>
  <c r="G59" i="4"/>
  <c r="G60" i="4"/>
  <c r="H140" i="2"/>
  <c r="I140" i="2" s="1"/>
  <c r="G63" i="5"/>
  <c r="G64" i="5" s="1"/>
  <c r="G65" i="5" s="1"/>
  <c r="F140" i="3" l="1"/>
  <c r="F141" i="3" s="1"/>
  <c r="G134" i="3"/>
  <c r="H147" i="2"/>
  <c r="H144" i="2"/>
  <c r="H145" i="2" l="1"/>
  <c r="H146" i="2" s="1"/>
  <c r="H148" i="2" s="1"/>
</calcChain>
</file>

<file path=xl/sharedStrings.xml><?xml version="1.0" encoding="utf-8"?>
<sst xmlns="http://schemas.openxmlformats.org/spreadsheetml/2006/main" count="1121" uniqueCount="583">
  <si>
    <t>Item</t>
  </si>
  <si>
    <t>Quantity</t>
  </si>
  <si>
    <t>Unit Cost</t>
  </si>
  <si>
    <t>Total Cost</t>
  </si>
  <si>
    <t>Pavement Asphalt</t>
  </si>
  <si>
    <t xml:space="preserve">     A.C. (2")</t>
  </si>
  <si>
    <t xml:space="preserve">     A.C. (3")</t>
  </si>
  <si>
    <t xml:space="preserve">     A.C. (4")</t>
  </si>
  <si>
    <t xml:space="preserve">     A.C. (6")</t>
  </si>
  <si>
    <t>P.C. Concrete</t>
  </si>
  <si>
    <t xml:space="preserve">     Sidewalk (4" Thick)</t>
  </si>
  <si>
    <t xml:space="preserve">     Alley Intersection (6")</t>
  </si>
  <si>
    <t xml:space="preserve">     Cross-Gutter (8")</t>
  </si>
  <si>
    <t xml:space="preserve">     Driveway (4")</t>
  </si>
  <si>
    <t xml:space="preserve">     Local Depression (3")</t>
  </si>
  <si>
    <t xml:space="preserve">     Driveway (6")</t>
  </si>
  <si>
    <t xml:space="preserve">     Grouted Rip Rap (6"-12")</t>
  </si>
  <si>
    <t xml:space="preserve">     Grouted Rip Rap (12"-19")</t>
  </si>
  <si>
    <t xml:space="preserve">     Gunite (3")</t>
  </si>
  <si>
    <t xml:space="preserve">     Reinforced Concrete</t>
  </si>
  <si>
    <t>Curb and Gutter</t>
  </si>
  <si>
    <t xml:space="preserve">     P.C.C. Curb</t>
  </si>
  <si>
    <t xml:space="preserve">     A.C. Curb Type D</t>
  </si>
  <si>
    <t xml:space="preserve">     P.C.C. Alley Gutter</t>
  </si>
  <si>
    <t>Miscellaneous Items</t>
  </si>
  <si>
    <t xml:space="preserve">     Street Name Signs</t>
  </si>
  <si>
    <t xml:space="preserve">     Guard Rail</t>
  </si>
  <si>
    <t xml:space="preserve">     Guide Markers</t>
  </si>
  <si>
    <t xml:space="preserve">     Chain Link Fence (5')</t>
  </si>
  <si>
    <t xml:space="preserve">     Chain Link Fence (6')</t>
  </si>
  <si>
    <t xml:space="preserve">     Tree Removal (Ave. 12' D)</t>
  </si>
  <si>
    <t xml:space="preserve">     Adjust manhole</t>
  </si>
  <si>
    <t xml:space="preserve">     Tree Well and Covers</t>
  </si>
  <si>
    <t xml:space="preserve">     Construct Temporary Turnaround</t>
  </si>
  <si>
    <t xml:space="preserve">     Underground Utilities</t>
  </si>
  <si>
    <t>Cost Per L.F. of Local Street - Case D (Estimate over $50,000)</t>
  </si>
  <si>
    <t xml:space="preserve">     (1)  Curb, Gutter, Sidewalk, Pavement, Base</t>
  </si>
  <si>
    <t xml:space="preserve">           40' between curbs (sidewalk @ property line)</t>
  </si>
  <si>
    <t xml:space="preserve">           36' between curbs (sidewalk @ property line)</t>
  </si>
  <si>
    <t xml:space="preserve">           34' between curbs (sidewalk @ property line)</t>
  </si>
  <si>
    <t xml:space="preserve">           40' between curbs (sidewalk @ curb)</t>
  </si>
  <si>
    <t xml:space="preserve">           36' between curbs (sidewalk @ curb)</t>
  </si>
  <si>
    <t xml:space="preserve">           34' between curbs (sidewalk @ curb)</t>
  </si>
  <si>
    <t xml:space="preserve">     (2)  A.C. Inverted Shoulder Section With Base</t>
  </si>
  <si>
    <t xml:space="preserve">           36' between E.P. (14'/4')</t>
  </si>
  <si>
    <t xml:space="preserve">           36' between E.C. (14'/4' with 4' conc. flowline)</t>
  </si>
  <si>
    <t xml:space="preserve">           30' between E.P. (12'/3')</t>
  </si>
  <si>
    <t xml:space="preserve">           30' between E.C. (12'/3' with conc. flowline)</t>
  </si>
  <si>
    <t xml:space="preserve">           Cul-de-sac (offset)</t>
  </si>
  <si>
    <t xml:space="preserve">           Cul-de-sac (standard)</t>
  </si>
  <si>
    <t xml:space="preserve">           Knuckle (standard)</t>
  </si>
  <si>
    <t xml:space="preserve">           Intersection approach (new) with cross gutter</t>
  </si>
  <si>
    <t xml:space="preserve">           Intersection approach (new) without cross gutter</t>
  </si>
  <si>
    <t xml:space="preserve">           Intersection approach (at existing streets)</t>
  </si>
  <si>
    <t xml:space="preserve">                with cross gutter</t>
  </si>
  <si>
    <t xml:space="preserve">                without cross gutter</t>
  </si>
  <si>
    <t xml:space="preserve">     Remove Temporary Turnaround</t>
  </si>
  <si>
    <t>Each</t>
  </si>
  <si>
    <t>/L.F.</t>
  </si>
  <si>
    <t>Catch Basins</t>
  </si>
  <si>
    <t>/S.F.</t>
  </si>
  <si>
    <t>/C.Y.</t>
  </si>
  <si>
    <t>&lt;$50k Unit Price</t>
  </si>
  <si>
    <t>&gt;$50k Unit Price</t>
  </si>
  <si>
    <t xml:space="preserve">     Catch Basin No. 300, W=3.5'</t>
  </si>
  <si>
    <t xml:space="preserve">     Catch Basin No. 300, W=7'-10'</t>
  </si>
  <si>
    <t xml:space="preserve">     Catch Basin No. 300, W=14'</t>
  </si>
  <si>
    <t xml:space="preserve">     Catch Basin No. 300, W=17', 21'</t>
  </si>
  <si>
    <t xml:space="preserve">     Catch Basin No. 300, W=28'</t>
  </si>
  <si>
    <t xml:space="preserve">     Catch Basin No. 301, W=7' W/ 1 Grate</t>
  </si>
  <si>
    <t xml:space="preserve">     Catch Basin No. 301, W=10' W/ 1 Grate</t>
  </si>
  <si>
    <t xml:space="preserve">     Catch Basin No. 301, W=14' W/ 1 Grate</t>
  </si>
  <si>
    <t xml:space="preserve">     Catch Basin No. 301, W=21' W/ 3 Grates</t>
  </si>
  <si>
    <t xml:space="preserve">     Catch Basin No. 301, W=28' W/ 3 Grates</t>
  </si>
  <si>
    <t xml:space="preserve">     Trench Backfill Slurry (270-E-500)</t>
  </si>
  <si>
    <t xml:space="preserve">     Concrete Removal Non Reinforced</t>
  </si>
  <si>
    <t xml:space="preserve">     Concrete Removal Reinforced</t>
  </si>
  <si>
    <t xml:space="preserve">     Sawcut</t>
  </si>
  <si>
    <t xml:space="preserve">     Pavement (9")</t>
  </si>
  <si>
    <t xml:space="preserve">     Geotextile fabric</t>
  </si>
  <si>
    <t xml:space="preserve">     Crushed Agg. Base (under AC &amp; PCC pavement)</t>
  </si>
  <si>
    <t xml:space="preserve">     P.C.C. Curb and 2' Gutter</t>
  </si>
  <si>
    <t xml:space="preserve">     P.C.C. Curb and 1' Gutter</t>
  </si>
  <si>
    <t xml:space="preserve">     6 Mil Polyethylene Film Membrane (30' deep)</t>
  </si>
  <si>
    <t xml:space="preserve">     Street Lights    </t>
  </si>
  <si>
    <t xml:space="preserve">     Curb Ramp (APWA 111-2 Case A Type 3)</t>
  </si>
  <si>
    <t xml:space="preserve">     P.C.C. Curb Type C</t>
  </si>
  <si>
    <t xml:space="preserve">     A.C. (removal)</t>
  </si>
  <si>
    <t xml:space="preserve">     Crushed Agg. Base (under sidewalk, c&amp;g, driveway)</t>
  </si>
  <si>
    <t xml:space="preserve">     Crushed Agg. Base (removal)</t>
  </si>
  <si>
    <t xml:space="preserve">     A.C. (coldmill) </t>
  </si>
  <si>
    <t xml:space="preserve">     RBAC- Rubberized Asphalt Concrete</t>
  </si>
  <si>
    <t xml:space="preserve">     Unclassified Excavation</t>
  </si>
  <si>
    <t xml:space="preserve">     Clearing &amp; Grubbing</t>
  </si>
  <si>
    <t>Subtotal (A)</t>
  </si>
  <si>
    <t>TABLE 2: Plan Check Fee Calculation</t>
  </si>
  <si>
    <t>Inspection (Use Table1) (F)</t>
  </si>
  <si>
    <t>Inspection Fee (F)</t>
  </si>
  <si>
    <t>PLAN CHECKING FEE VALUATION</t>
  </si>
  <si>
    <t>Sewer Pipe</t>
  </si>
  <si>
    <t xml:space="preserve">     4" V.C.P. House Lateral Sewer</t>
  </si>
  <si>
    <t xml:space="preserve">     6" V.C.P. House Lateral Sewer</t>
  </si>
  <si>
    <t xml:space="preserve">     8" V.C.P. Main line Sewer</t>
  </si>
  <si>
    <t xml:space="preserve">     10" V.C.P. Main line Sewer</t>
  </si>
  <si>
    <t xml:space="preserve">     12" V.C.P. Main line Sewer</t>
  </si>
  <si>
    <t xml:space="preserve">     15" V.C.P. Main line Sewer</t>
  </si>
  <si>
    <t xml:space="preserve">     18" V.C.P. Main line Sewer</t>
  </si>
  <si>
    <t>Manhole</t>
  </si>
  <si>
    <t xml:space="preserve">     Manhole</t>
  </si>
  <si>
    <t xml:space="preserve">     Break into Existing Manhole</t>
  </si>
  <si>
    <t>Extra Depth Construction</t>
  </si>
  <si>
    <t xml:space="preserve">     Extra Depth Construction (10' - 12')</t>
  </si>
  <si>
    <t xml:space="preserve">     Extra Depth Construction (12' - 14')</t>
  </si>
  <si>
    <t xml:space="preserve">     Extra Depth Construction (14' - 16')</t>
  </si>
  <si>
    <t xml:space="preserve">     Extra Depth Construction (16' - 18')</t>
  </si>
  <si>
    <t xml:space="preserve">     Extra Depth Construction (18' - 20')</t>
  </si>
  <si>
    <t xml:space="preserve">     Concrete Encasement or Cradle</t>
  </si>
  <si>
    <t xml:space="preserve">     Special Encasement or Cradle</t>
  </si>
  <si>
    <t xml:space="preserve">     Excavation in Rock Areas</t>
  </si>
  <si>
    <t xml:space="preserve">     Unstable Bedding</t>
  </si>
  <si>
    <t xml:space="preserve">     Jacking Steel Casing</t>
  </si>
  <si>
    <t xml:space="preserve">     Breaking Pavement &amp; Resurfacing - A.C.</t>
  </si>
  <si>
    <t xml:space="preserve">     Breaking Pavement &amp; Resurfacing - Concrete</t>
  </si>
  <si>
    <t>/IN/L.F.</t>
  </si>
  <si>
    <t>Inflation (12% x (A+B) = C)</t>
  </si>
  <si>
    <t>B.   For each $1,000 or fractional part thereof, of the total valuation of the proposed work in excess of $50,000 and not exceeding $100,000, an additional</t>
  </si>
  <si>
    <t>C.  For each $1,000 or fractional part thereof, of the total valuation of the proposed work in excess of $100,000 an additional</t>
  </si>
  <si>
    <t>Water Pipe</t>
  </si>
  <si>
    <t>Air Vac. Release Valve</t>
  </si>
  <si>
    <t xml:space="preserve">     Less than or equal to 1"</t>
  </si>
  <si>
    <t xml:space="preserve">     Greater than 1"</t>
  </si>
  <si>
    <t>Unit Cost (1)</t>
  </si>
  <si>
    <t>Service End Meter Box</t>
  </si>
  <si>
    <t xml:space="preserve">     6" Lateral</t>
  </si>
  <si>
    <t xml:space="preserve">     8" Lateral</t>
  </si>
  <si>
    <t xml:space="preserve">    10" Lateral</t>
  </si>
  <si>
    <t xml:space="preserve">     6" Fire Hydrant</t>
  </si>
  <si>
    <t xml:space="preserve">     Blow-Off or Flushout</t>
  </si>
  <si>
    <t xml:space="preserve">     Master Meter (above ground)</t>
  </si>
  <si>
    <t xml:space="preserve">     Master Meter, 6" (below ground) (2)</t>
  </si>
  <si>
    <t xml:space="preserve">     Pump Station and Vault</t>
  </si>
  <si>
    <t>(3)</t>
  </si>
  <si>
    <t xml:space="preserve">     Pressure Regulator Station</t>
  </si>
  <si>
    <t xml:space="preserve">     Water Tank or Reservoir</t>
  </si>
  <si>
    <t xml:space="preserve">     36" Boring and Casing Under Highway</t>
  </si>
  <si>
    <t xml:space="preserve">     Existing St. (F.H.)</t>
  </si>
  <si>
    <t xml:space="preserve">     Steel Pipe</t>
  </si>
  <si>
    <t>(1) The unit prices shown are for subdivisions in which the street will be constructed as part of the complete work of the subdivision.  The unit prices for construction within existing streets will be higher.</t>
  </si>
  <si>
    <t>(2) For unit cost for other sizes, add $3,000 to cost shown per each 2 inch increment.</t>
  </si>
  <si>
    <t>(3) Variations in requirements will require a cost estimate based on the construction plans and itemized materials list.</t>
  </si>
  <si>
    <t>Reinforced Concrete Pipe</t>
  </si>
  <si>
    <t xml:space="preserve">     18"</t>
  </si>
  <si>
    <t xml:space="preserve">     24"</t>
  </si>
  <si>
    <t xml:space="preserve">     30"</t>
  </si>
  <si>
    <t xml:space="preserve">     36"</t>
  </si>
  <si>
    <t xml:space="preserve">     42"</t>
  </si>
  <si>
    <t xml:space="preserve">     48"</t>
  </si>
  <si>
    <t xml:space="preserve">     54"</t>
  </si>
  <si>
    <t xml:space="preserve">     60"</t>
  </si>
  <si>
    <t>Reinforced Concrete Box</t>
  </si>
  <si>
    <t xml:space="preserve">     301</t>
  </si>
  <si>
    <t xml:space="preserve">     320</t>
  </si>
  <si>
    <t xml:space="preserve">     321</t>
  </si>
  <si>
    <t xml:space="preserve">     322</t>
  </si>
  <si>
    <t>Junction Structures</t>
  </si>
  <si>
    <t xml:space="preserve">     331</t>
  </si>
  <si>
    <t xml:space="preserve">     332</t>
  </si>
  <si>
    <t xml:space="preserve">     333</t>
  </si>
  <si>
    <t xml:space="preserve">     334</t>
  </si>
  <si>
    <t>Transition Structures</t>
  </si>
  <si>
    <t xml:space="preserve">     340</t>
  </si>
  <si>
    <t xml:space="preserve">     341</t>
  </si>
  <si>
    <t xml:space="preserve">     342</t>
  </si>
  <si>
    <t xml:space="preserve">     Chainlink Fence</t>
  </si>
  <si>
    <t xml:space="preserve">     4' Walk Gate</t>
  </si>
  <si>
    <t xml:space="preserve">     16' Double Drive Gate</t>
  </si>
  <si>
    <t>Concrete Collars</t>
  </si>
  <si>
    <t xml:space="preserve">     Structural Concrete</t>
  </si>
  <si>
    <t xml:space="preserve">     Asphalt</t>
  </si>
  <si>
    <t xml:space="preserve">     Crushed Miscellaneous Base</t>
  </si>
  <si>
    <t xml:space="preserve">     Water Quality Devices</t>
  </si>
  <si>
    <t xml:space="preserve">                                $20,001 &amp; over</t>
  </si>
  <si>
    <t xml:space="preserve">                                $5,000 or less</t>
  </si>
  <si>
    <t xml:space="preserve">                                $600    or less</t>
  </si>
  <si>
    <t xml:space="preserve">                                $601    to $1,000</t>
  </si>
  <si>
    <t xml:space="preserve">                                $1,001 to $1,500</t>
  </si>
  <si>
    <t xml:space="preserve">                                $2,001 to $2,500</t>
  </si>
  <si>
    <t xml:space="preserve">                                $2,501 to $3,000</t>
  </si>
  <si>
    <t xml:space="preserve">                                $3,001 to $3,500</t>
  </si>
  <si>
    <t xml:space="preserve">                                $3,501 to $4,000</t>
  </si>
  <si>
    <t xml:space="preserve">                                $4,001 to $4,500</t>
  </si>
  <si>
    <t xml:space="preserve">                                $4,501 to $5,000</t>
  </si>
  <si>
    <t xml:space="preserve">                                $5,001 to $6,000</t>
  </si>
  <si>
    <t xml:space="preserve">                                $6,001 to $7,000</t>
  </si>
  <si>
    <t xml:space="preserve">                                $7,001 to $8,000</t>
  </si>
  <si>
    <t xml:space="preserve">                                $8,001 to $9,000</t>
  </si>
  <si>
    <t xml:space="preserve">                                $5,001 to $20,000</t>
  </si>
  <si>
    <t xml:space="preserve">                                $100,001 to $500,000</t>
  </si>
  <si>
    <t xml:space="preserve">                               150 ft or less</t>
  </si>
  <si>
    <t xml:space="preserve">                               151 ft to 500 ft</t>
  </si>
  <si>
    <t xml:space="preserve">                               501 ft to 1,000 ft</t>
  </si>
  <si>
    <t xml:space="preserve">                               1,001 ft to 2,000 ft</t>
  </si>
  <si>
    <t xml:space="preserve">                               2,001 ft to 3,000 ft</t>
  </si>
  <si>
    <t xml:space="preserve">                               3,001 ft to 4,000 ft</t>
  </si>
  <si>
    <t xml:space="preserve">                               4,001 ft to 5,000 ft</t>
  </si>
  <si>
    <t xml:space="preserve">                               5,001 ft &amp; over</t>
  </si>
  <si>
    <t xml:space="preserve">             Booster Pump Station, Reservoirs, etc.</t>
  </si>
  <si>
    <t>over</t>
  </si>
  <si>
    <t xml:space="preserve">                                $10,000 or less</t>
  </si>
  <si>
    <t xml:space="preserve">                                $10,001 to $50,000</t>
  </si>
  <si>
    <t xml:space="preserve">                                $50,001 to $100,000</t>
  </si>
  <si>
    <t xml:space="preserve">                                $500,001 to $1,000,000</t>
  </si>
  <si>
    <t>1. After the fifth submittal - 10% of the original fee for each submittal</t>
  </si>
  <si>
    <t>3. Major revision - Fee is based on construction cost in accordance with table above</t>
  </si>
  <si>
    <t xml:space="preserve">                               $100,001 to $500,000</t>
  </si>
  <si>
    <t xml:space="preserve">                               $500,001 &amp; over</t>
  </si>
  <si>
    <t>Improvement Total (A+B+C=D)</t>
  </si>
  <si>
    <t>ft</t>
  </si>
  <si>
    <t>Los Angeles County Department Of Public Works</t>
  </si>
  <si>
    <t>Land Development Division</t>
  </si>
  <si>
    <t>Bond Calculation Sheets</t>
  </si>
  <si>
    <t xml:space="preserve">     CMU/Concrete Wall (6')</t>
  </si>
  <si>
    <t>Contingency (15% x A) = B)</t>
  </si>
  <si>
    <t xml:space="preserve">      Parkway Drain No. 1</t>
  </si>
  <si>
    <t xml:space="preserve">      Curb Drain</t>
  </si>
  <si>
    <t>Drainage Facilities</t>
  </si>
  <si>
    <t xml:space="preserve">            Curb Drain, 1 Pipe</t>
  </si>
  <si>
    <t xml:space="preserve">            Curb Drain, 2 Pipes</t>
  </si>
  <si>
    <t xml:space="preserve">            Curb Drain, 3 Pipes</t>
  </si>
  <si>
    <t xml:space="preserve">     Inlet/Outlet Structures</t>
  </si>
  <si>
    <t xml:space="preserve">     Energy Dissipator</t>
  </si>
  <si>
    <t xml:space="preserve">     Grouted Riprap</t>
  </si>
  <si>
    <t xml:space="preserve">     2" Standard</t>
  </si>
  <si>
    <t xml:space="preserve">Detector Check Meter with </t>
  </si>
  <si>
    <t>Vault Backflow Detector Assembly Above Ground</t>
  </si>
  <si>
    <t>LOT TREE BOND</t>
  </si>
  <si>
    <t>Lot Trees</t>
  </si>
  <si>
    <t xml:space="preserve">     Catch Basin No. 301, W=14' W/ 2 Grate</t>
  </si>
  <si>
    <t xml:space="preserve">     Catch Basin No. 301, W=21' W/ 2 Grate</t>
  </si>
  <si>
    <t xml:space="preserve">     Catch Basin No. 301, W=28' W/ 2 Grate</t>
  </si>
  <si>
    <t>/Ton</t>
  </si>
  <si>
    <t xml:space="preserve">                                $1,000,001 &amp; over</t>
  </si>
  <si>
    <t xml:space="preserve">A.   For each $1,000 or fractional part thereof, of the total valuation of the proposed work in excess of $10,000 and not exceeding $50,000, an additional   </t>
  </si>
  <si>
    <t>TABLE 1: Inspection Fee Calculation*</t>
  </si>
  <si>
    <t>+</t>
  </si>
  <si>
    <t>*Inspection fees are an estimated amount and subject to change.  Please verify with</t>
  </si>
  <si>
    <t xml:space="preserve">+  </t>
  </si>
  <si>
    <t xml:space="preserve">+ </t>
  </si>
  <si>
    <t>TABLE 1: Plan Check Fee Calculation</t>
  </si>
  <si>
    <t>Plan Check Fee (O)</t>
  </si>
  <si>
    <t>Roundup to nearest hundred</t>
  </si>
  <si>
    <t xml:space="preserve">     Backflow Preventer Valve</t>
  </si>
  <si>
    <t xml:space="preserve">$100,001 &amp; over </t>
  </si>
  <si>
    <t>Number of Hydrants</t>
  </si>
  <si>
    <t>1 to 10</t>
  </si>
  <si>
    <t>11 and over</t>
  </si>
  <si>
    <t>/each  over</t>
  </si>
  <si>
    <t>Plan Check Fee (P)</t>
  </si>
  <si>
    <t>Enter Number of Hydrants</t>
  </si>
  <si>
    <t>TABLE 3: Plan Check Fee Calculation</t>
  </si>
  <si>
    <t>TABLE 4: Plan Check Fee Calculation</t>
  </si>
  <si>
    <t>Plan Check Fee (Q)</t>
  </si>
  <si>
    <t>Certificate of Registration or Water Utility Authorization (Yes or No)</t>
  </si>
  <si>
    <t>Certificate of Registration or Water Utility Authorization</t>
  </si>
  <si>
    <t>TABLE 5: Plan Check Fee Calculation</t>
  </si>
  <si>
    <t>Plan Check Fee (R)</t>
  </si>
  <si>
    <t>Booster Pump Station, Reservoirs, etc. (Yes or No)</t>
  </si>
  <si>
    <t>Water Appeals Board Filing Fee Public Works</t>
  </si>
  <si>
    <t>Water Appeals Board Filing Fee Public Works (Yes or No)</t>
  </si>
  <si>
    <t>Water Appeals Board Filing Fee Fire Department</t>
  </si>
  <si>
    <t>Water Appeals Board Filing Fee Fire Department (Yes or No)</t>
  </si>
  <si>
    <t>Contingency (15% x (A+B) = C)</t>
  </si>
  <si>
    <t>Inflation (12% x (A+B+C) = D)</t>
  </si>
  <si>
    <t>Improvement Total (A+B+C+D = E)</t>
  </si>
  <si>
    <t>Storm Drain Bond Amount (E+F = G)</t>
  </si>
  <si>
    <t>Total Plan Check Fee (See Table 2, based on valuation) (I)</t>
  </si>
  <si>
    <t>Improvement Total (A+B+C+D =E)</t>
  </si>
  <si>
    <t>Sewer Bond Amount (E+F = G)</t>
  </si>
  <si>
    <t xml:space="preserve">                                $1,501 to $2,000</t>
  </si>
  <si>
    <t xml:space="preserve"> Regional Planning Bond Amount (D)</t>
  </si>
  <si>
    <t>Subtotal (E)</t>
  </si>
  <si>
    <t>Contingency (15% x E = F)</t>
  </si>
  <si>
    <t>Inflation (12% x (E+F) = G)</t>
  </si>
  <si>
    <t>Improvement Total (E+F+G = H)</t>
  </si>
  <si>
    <t xml:space="preserve"> Regional Planning Lot Tree Bond Amount (H)</t>
  </si>
  <si>
    <t>Contingency (15% x (A+B)  = C)</t>
  </si>
  <si>
    <t>Water Bond Amount (E)</t>
  </si>
  <si>
    <t xml:space="preserve">     4" D.I. Pipe   (F)</t>
  </si>
  <si>
    <t xml:space="preserve">     6" D.I. Pipe   (G)</t>
  </si>
  <si>
    <t xml:space="preserve">     8" D.I. Pipe   (H)</t>
  </si>
  <si>
    <t xml:space="preserve">     10" D.I. Pipe (I)</t>
  </si>
  <si>
    <t xml:space="preserve">     12" D.I. Pipe (J)</t>
  </si>
  <si>
    <t xml:space="preserve">     14" D.I. Pipe (K)</t>
  </si>
  <si>
    <t xml:space="preserve">     16" D.I. Pipe (L)</t>
  </si>
  <si>
    <t xml:space="preserve">     18" D.I. Pipe (M)</t>
  </si>
  <si>
    <t>Total Water Pipe Length (F+G+H+I+J+K+L+M = N)</t>
  </si>
  <si>
    <t>Plan Check Fee (See Table 1) (O)</t>
  </si>
  <si>
    <t>(See Table 2) (P)</t>
  </si>
  <si>
    <t>(See Table 3) (Q)</t>
  </si>
  <si>
    <t>(See Table 4) (R)</t>
  </si>
  <si>
    <t xml:space="preserve">Total Plan Check Fee (T) </t>
  </si>
  <si>
    <t>Valuation Length (N)</t>
  </si>
  <si>
    <t>x (A+B+C)</t>
  </si>
  <si>
    <t xml:space="preserve">     A.C. (2") -Performance Grade</t>
  </si>
  <si>
    <t xml:space="preserve">     A.C. (3") -Performance Grade</t>
  </si>
  <si>
    <t xml:space="preserve">     A.C. (4") -Performance Grade</t>
  </si>
  <si>
    <t xml:space="preserve">     A.C. (6") -Performance Grade</t>
  </si>
  <si>
    <t xml:space="preserve">     Driveway (6" -commercial)</t>
  </si>
  <si>
    <t xml:space="preserve">     Curb Ramp (with detectable warning surface)</t>
  </si>
  <si>
    <t xml:space="preserve">     P.C.C. Inverted Shoulder (7-1/2" CF)</t>
  </si>
  <si>
    <t xml:space="preserve">     P.C.C. Curb and 2' Gutter (Type A2-6)</t>
  </si>
  <si>
    <t xml:space="preserve">     P.C.C. Curb and 2' Gutter (Type A2-8)</t>
  </si>
  <si>
    <t xml:space="preserve">     P.C.C. Curb and 2' Gutter (Type B1-6)</t>
  </si>
  <si>
    <t xml:space="preserve">     P.C.C. Curb and 2' Gutter (Type B2,(3)-6)</t>
  </si>
  <si>
    <t xml:space="preserve">     6 Mil Polyethylene Film Membrane (30" deep)</t>
  </si>
  <si>
    <t xml:space="preserve">     Tree Removal (Ave. 12" D)</t>
  </si>
  <si>
    <t>Traffic Control Plan? (Yes or No)</t>
  </si>
  <si>
    <t>Traffic Control Plan (5% x A = B)</t>
  </si>
  <si>
    <t>Valuation for Plan Check Fee  (E - D - B = H)</t>
  </si>
  <si>
    <t xml:space="preserve">     Gate Valves</t>
  </si>
  <si>
    <t xml:space="preserve">for each 1,000 ft in excess </t>
  </si>
  <si>
    <t>over 5,000 ft</t>
  </si>
  <si>
    <t xml:space="preserve">     Ductile Iron Pipe (Price per linear foot):</t>
  </si>
  <si>
    <t>Valuation Total (H)</t>
  </si>
  <si>
    <t>Plan Check Fee (I)</t>
  </si>
  <si>
    <t>(See Table 5) Public Works (S1)</t>
  </si>
  <si>
    <t>(See Table 5) Fire Department (S2)</t>
  </si>
  <si>
    <t>Plan Check Fee (S1)</t>
  </si>
  <si>
    <t>Plan Check Fee (S2)</t>
  </si>
  <si>
    <t>$1,625 or less</t>
  </si>
  <si>
    <t>$1,626 to $20,000</t>
  </si>
  <si>
    <t>$20,001 to $100,000</t>
  </si>
  <si>
    <t>$100,001 to $500,000</t>
  </si>
  <si>
    <t xml:space="preserve">$500,001 &amp; over </t>
  </si>
  <si>
    <t>$10,000 or less</t>
  </si>
  <si>
    <t>$10,001 to $100,000</t>
  </si>
  <si>
    <t xml:space="preserve">     Cleanout (6")</t>
  </si>
  <si>
    <t xml:space="preserve">                               $0 to $100,000</t>
  </si>
  <si>
    <t xml:space="preserve">Land Development Division's Permit Section upon request of the permit issuance. </t>
  </si>
  <si>
    <t xml:space="preserve">                                $9,001 to $10,000</t>
  </si>
  <si>
    <t xml:space="preserve">     Install Detail 1 (2-Coat Paint)</t>
  </si>
  <si>
    <t>Striping (2-Coat Paint)</t>
  </si>
  <si>
    <t xml:space="preserve">     Install Detail 2 (2-Coat Paint)</t>
  </si>
  <si>
    <t xml:space="preserve">     Install Detail 8 (2-Coat Paint)</t>
  </si>
  <si>
    <t xml:space="preserve">     Install Detail 9 (2-Coat Paint)</t>
  </si>
  <si>
    <t xml:space="preserve">     Install Detail 15 (2-Coat Paint)</t>
  </si>
  <si>
    <t xml:space="preserve">     Install Detail 16 (2-Coat Paint)</t>
  </si>
  <si>
    <t xml:space="preserve">     Install Detail 21 (2-Coat Paint)</t>
  </si>
  <si>
    <t xml:space="preserve">     Install Detail 22 (2-Coat Paint)</t>
  </si>
  <si>
    <t xml:space="preserve">     Install Detail 24 (2-Coat Paint)</t>
  </si>
  <si>
    <t xml:space="preserve">     Install Detail 25 (2-Coat Paint)</t>
  </si>
  <si>
    <t xml:space="preserve">     Install Detail 27B (2-Coat Paint)</t>
  </si>
  <si>
    <t xml:space="preserve">     Install Detail 28 (2-Coat Paint)</t>
  </si>
  <si>
    <t xml:space="preserve">     Install Detail 29 (2-Coat Paint)</t>
  </si>
  <si>
    <t xml:space="preserve">     Install Detail 31 (2-Coat Paint)</t>
  </si>
  <si>
    <t xml:space="preserve">     Install Detail 32 (2-Coat Paint)</t>
  </si>
  <si>
    <t xml:space="preserve">     Install Detail 37B (2-Coat Paint)</t>
  </si>
  <si>
    <t xml:space="preserve">     Install Detail 38 (2-Coat Paint)</t>
  </si>
  <si>
    <t xml:space="preserve">     Install Detail 38A (2-Coat Paint)</t>
  </si>
  <si>
    <t xml:space="preserve">     Install Detail 40 (2-Coat Paint)</t>
  </si>
  <si>
    <t xml:space="preserve">     Install Detail 41 (2-Coat Paint)</t>
  </si>
  <si>
    <t xml:space="preserve">     Install 12 inch Limit Line (2-Coat Paint)</t>
  </si>
  <si>
    <t xml:space="preserve">     Install Curb Marking (2-Coat Paint)</t>
  </si>
  <si>
    <t xml:space="preserve">     Remove Detail 1 (2-Coat Paint)</t>
  </si>
  <si>
    <t xml:space="preserve">     Remove Detail 2 (2-Coat Paint)</t>
  </si>
  <si>
    <t xml:space="preserve">     Remove Detail 8 (2-Coat Paint)</t>
  </si>
  <si>
    <t xml:space="preserve">     Remove Detail 9 (2-Coat Paint)</t>
  </si>
  <si>
    <t xml:space="preserve">     Remove Detail 15 (2-Coat Paint)</t>
  </si>
  <si>
    <t xml:space="preserve">     Remove Detail 16 (2-Coat Paint)</t>
  </si>
  <si>
    <t xml:space="preserve">     Remove Detail 21 (2-Coat Paint)</t>
  </si>
  <si>
    <t xml:space="preserve">     Remove Detail 22 (2-Coat Paint)</t>
  </si>
  <si>
    <t xml:space="preserve">     Remove Detail 24 (2-Coat Paint)</t>
  </si>
  <si>
    <t xml:space="preserve">     Remove Detail 25 (2-Coat Paint)</t>
  </si>
  <si>
    <t xml:space="preserve">     Remove Detail 27B (2-Coat Paint)</t>
  </si>
  <si>
    <t xml:space="preserve">     Remove Detail 28 (2-Coat Paint)</t>
  </si>
  <si>
    <t xml:space="preserve">     Remove Detail 29 (2-Coat Paint)</t>
  </si>
  <si>
    <t xml:space="preserve">     Remove Detail 31 (2-Coat Paint)</t>
  </si>
  <si>
    <t xml:space="preserve">     Remove Detail 32 (2-Coat Paint)</t>
  </si>
  <si>
    <t xml:space="preserve">     Remove Detail 37B (2-Coat Paint)</t>
  </si>
  <si>
    <t xml:space="preserve">     Remove Detail 38 (2-Coat Paint)</t>
  </si>
  <si>
    <t xml:space="preserve">     Remove Detail 38A (2-Coat Paint)</t>
  </si>
  <si>
    <t xml:space="preserve">     Remove Detail 40 (2-Coat Paint)</t>
  </si>
  <si>
    <t xml:space="preserve">     Remove Detail 41 (2-Coat Paint)</t>
  </si>
  <si>
    <t xml:space="preserve">     Remove 12 inch Limit Line (2-Coat Paint)</t>
  </si>
  <si>
    <t xml:space="preserve">     Remove Curb Marking (2-Coat Paint)</t>
  </si>
  <si>
    <t xml:space="preserve">     Remove Sign</t>
  </si>
  <si>
    <t xml:space="preserve">     Relocate Sign</t>
  </si>
  <si>
    <t xml:space="preserve">Signing </t>
  </si>
  <si>
    <t>LF</t>
  </si>
  <si>
    <t xml:space="preserve">     Install Pavement Marking (2-Coat Paint) ($3.00/SF)</t>
  </si>
  <si>
    <r>
      <t xml:space="preserve">         "STOP" = 22 SF    </t>
    </r>
    <r>
      <rPr>
        <b/>
        <sz val="10"/>
        <rFont val="Arial"/>
        <family val="2"/>
      </rPr>
      <t>Enter "Each" Quantity---------&gt;</t>
    </r>
  </si>
  <si>
    <r>
      <t xml:space="preserve">         "SIGNAL" = 32 SF  </t>
    </r>
    <r>
      <rPr>
        <b/>
        <sz val="10"/>
        <rFont val="Arial"/>
        <family val="2"/>
      </rPr>
      <t>Enter "Each" Quantity--------&gt;</t>
    </r>
  </si>
  <si>
    <r>
      <t xml:space="preserve">         "SCHOOL" = 35 SF  </t>
    </r>
    <r>
      <rPr>
        <b/>
        <sz val="10"/>
        <rFont val="Arial"/>
        <family val="2"/>
      </rPr>
      <t>Enter "Each" Quantity-------&gt;</t>
    </r>
  </si>
  <si>
    <r>
      <t xml:space="preserve">         "AHEAD" = 31 SF  </t>
    </r>
    <r>
      <rPr>
        <b/>
        <sz val="10"/>
        <rFont val="Arial"/>
        <family val="2"/>
      </rPr>
      <t>Enter "Each" Quantity---------&gt;</t>
    </r>
  </si>
  <si>
    <r>
      <t xml:space="preserve">         "YIELD" = 24 SF </t>
    </r>
    <r>
      <rPr>
        <b/>
        <sz val="10"/>
        <rFont val="Arial"/>
        <family val="2"/>
      </rPr>
      <t xml:space="preserve"> Enter "Each" Quantity-----------&gt;</t>
    </r>
  </si>
  <si>
    <r>
      <t xml:space="preserve">        "Type IV Arrow" = 15 SF  </t>
    </r>
    <r>
      <rPr>
        <b/>
        <sz val="10"/>
        <rFont val="Arial"/>
        <family val="2"/>
      </rPr>
      <t>Enter "Each" Quantity-&gt;</t>
    </r>
  </si>
  <si>
    <t xml:space="preserve">     Remove Pavement Marking (2-Coat Paint) ($4.00/SF)</t>
  </si>
  <si>
    <t xml:space="preserve">     Furnish/Install Sign Panel on One Post</t>
  </si>
  <si>
    <t xml:space="preserve">     Furnish/Install Sign Panel on Two Posts</t>
  </si>
  <si>
    <t xml:space="preserve">     Furnish/Install Sign Panel</t>
  </si>
  <si>
    <t>SIGNING AND STRIPING</t>
  </si>
  <si>
    <t>STREET LIGHTING</t>
  </si>
  <si>
    <t>UNDERGROUND UTILITIES</t>
  </si>
  <si>
    <t>STREET LIGHTING SUBTOTAL (B)</t>
  </si>
  <si>
    <t>UNDERGROUND UTILITY SUBTOTAL (C)</t>
  </si>
  <si>
    <t>SIGNING AND STRIPING SUBTOTAL (D)</t>
  </si>
  <si>
    <t>Traffic Control Plan (5% x E = F)</t>
  </si>
  <si>
    <t>Contingency (15% x (E+F) = G)</t>
  </si>
  <si>
    <t>GRAND SUBTOTAL (A+B+C+D)=E)</t>
  </si>
  <si>
    <t>Inflation (12% x (E+F+G) = H)</t>
  </si>
  <si>
    <t>Improvement Total (E+F+G+H = I)</t>
  </si>
  <si>
    <t>GRAND SUBTOTAL (E) COST &lt; $50,000 (Yes or No)</t>
  </si>
  <si>
    <t>TRAFFIC CONTROL PLAN? (Yes or No)</t>
  </si>
  <si>
    <t>STREET IMPROVEMENT SUBTOTAL (A)</t>
  </si>
  <si>
    <t>STREET IMPROVEMENT BOND AMOUNT CALCULATION</t>
  </si>
  <si>
    <t>STREET TREE BOND AMOUNT CALCULATION</t>
  </si>
  <si>
    <t xml:space="preserve">     Street Trees</t>
  </si>
  <si>
    <t>Street Bond Amount (I+J = K)</t>
  </si>
  <si>
    <t>Street Tree Subtotal (L)</t>
  </si>
  <si>
    <t>Contingency (15% x L = M)</t>
  </si>
  <si>
    <t>Inflation (12% x (L+M) = N)</t>
  </si>
  <si>
    <t>Improvement Total (L+M+N = O)</t>
  </si>
  <si>
    <t>Street Tree Bond Amount (O+P = Q)</t>
  </si>
  <si>
    <r>
      <t xml:space="preserve">Single lot grading encroachments that are submitted as part of referrals from Building and Safety Division will require a </t>
    </r>
    <r>
      <rPr>
        <b/>
        <u/>
        <sz val="10"/>
        <rFont val="Arial"/>
        <family val="2"/>
      </rPr>
      <t xml:space="preserve">Deposit in the amount of $600. </t>
    </r>
  </si>
  <si>
    <t>Inspection (Use Table 2) (J)</t>
  </si>
  <si>
    <t>Inspection (Use Table 2) (P)</t>
  </si>
  <si>
    <t>TABLE 2: Inspection Fee Calculation*</t>
  </si>
  <si>
    <t>Improvement Total (I, O)</t>
  </si>
  <si>
    <t>Inspection Fee (J, P)</t>
  </si>
  <si>
    <t>STREET IMPROVEMENTS</t>
  </si>
  <si>
    <t xml:space="preserve">     Cast Iron Pipe</t>
  </si>
  <si>
    <t>/in/ft</t>
  </si>
  <si>
    <t>Join Existing VCP</t>
  </si>
  <si>
    <t>Consumer Price Index</t>
  </si>
  <si>
    <r>
      <t xml:space="preserve">     (</t>
    </r>
    <r>
      <rPr>
        <b/>
        <sz val="8.5"/>
        <rFont val="Arial"/>
        <family val="2"/>
      </rPr>
      <t>4"</t>
    </r>
    <r>
      <rPr>
        <sz val="8.5"/>
        <rFont val="Arial"/>
        <family val="2"/>
      </rPr>
      <t xml:space="preserve">: $43.56, </t>
    </r>
    <r>
      <rPr>
        <b/>
        <sz val="8.5"/>
        <rFont val="Arial"/>
        <family val="2"/>
      </rPr>
      <t>6"</t>
    </r>
    <r>
      <rPr>
        <sz val="8.5"/>
        <rFont val="Arial"/>
        <family val="2"/>
      </rPr>
      <t xml:space="preserve">: $ 53.69, </t>
    </r>
    <r>
      <rPr>
        <b/>
        <sz val="8.5"/>
        <rFont val="Arial"/>
        <family val="2"/>
      </rPr>
      <t>8"</t>
    </r>
    <r>
      <rPr>
        <sz val="8.5"/>
        <rFont val="Arial"/>
        <family val="2"/>
      </rPr>
      <t xml:space="preserve">: $70.91, </t>
    </r>
    <r>
      <rPr>
        <b/>
        <sz val="8.5"/>
        <rFont val="Arial"/>
        <family val="2"/>
      </rPr>
      <t>10"</t>
    </r>
    <r>
      <rPr>
        <sz val="8.5"/>
        <rFont val="Arial"/>
        <family val="2"/>
      </rPr>
      <t xml:space="preserve">: $74.96, </t>
    </r>
    <r>
      <rPr>
        <b/>
        <sz val="8.5"/>
        <rFont val="Arial"/>
        <family val="2"/>
      </rPr>
      <t>12"</t>
    </r>
    <r>
      <rPr>
        <sz val="8.5"/>
        <rFont val="Arial"/>
        <family val="2"/>
      </rPr>
      <t>: $86.11)</t>
    </r>
  </si>
  <si>
    <r>
      <t xml:space="preserve">     (</t>
    </r>
    <r>
      <rPr>
        <b/>
        <sz val="8.5"/>
        <rFont val="Arial"/>
        <family val="2"/>
      </rPr>
      <t>14"</t>
    </r>
    <r>
      <rPr>
        <sz val="8.5"/>
        <rFont val="Arial"/>
        <family val="2"/>
      </rPr>
      <t xml:space="preserve">: $92.18, </t>
    </r>
    <r>
      <rPr>
        <b/>
        <sz val="8.5"/>
        <rFont val="Arial"/>
        <family val="2"/>
      </rPr>
      <t>16"</t>
    </r>
    <r>
      <rPr>
        <sz val="8.5"/>
        <rFont val="Arial"/>
        <family val="2"/>
      </rPr>
      <t xml:space="preserve">: $97.25, </t>
    </r>
    <r>
      <rPr>
        <b/>
        <sz val="8.5"/>
        <rFont val="Arial"/>
        <family val="2"/>
      </rPr>
      <t>18"</t>
    </r>
    <r>
      <rPr>
        <sz val="8.5"/>
        <rFont val="Arial"/>
        <family val="2"/>
      </rPr>
      <t xml:space="preserve"> </t>
    </r>
    <r>
      <rPr>
        <b/>
        <sz val="8.5"/>
        <rFont val="Arial"/>
        <family val="2"/>
      </rPr>
      <t>&amp; Above</t>
    </r>
    <r>
      <rPr>
        <sz val="8.5"/>
        <rFont val="Arial"/>
        <family val="2"/>
      </rPr>
      <t>: $108.39)</t>
    </r>
  </si>
  <si>
    <t xml:space="preserve"> </t>
  </si>
  <si>
    <t>PROJECT DESCRIPTION</t>
  </si>
  <si>
    <t>EARTHWORK YARDAGE</t>
  </si>
  <si>
    <t xml:space="preserve"> ADDRESS</t>
  </si>
  <si>
    <t>CUT*…………………………</t>
  </si>
  <si>
    <t>C.Y.</t>
  </si>
  <si>
    <t xml:space="preserve"> GR #</t>
  </si>
  <si>
    <t>FILL*…………………………</t>
  </si>
  <si>
    <t xml:space="preserve"> TR/PM #</t>
  </si>
  <si>
    <t>OVEREXCAVATION………</t>
  </si>
  <si>
    <t xml:space="preserve"> D.O. #</t>
  </si>
  <si>
    <t>ALLUVIAL REMOVALS……</t>
  </si>
  <si>
    <t xml:space="preserve"> CHECKER</t>
  </si>
  <si>
    <t>TOTAL VOLUME………………</t>
  </si>
  <si>
    <t>* Larger of the two.</t>
  </si>
  <si>
    <t xml:space="preserve"> PLAN CHECK FEE</t>
  </si>
  <si>
    <t>Initial Plancheck Fee</t>
  </si>
  <si>
    <t>based on</t>
  </si>
  <si>
    <t>Submittal No</t>
  </si>
  <si>
    <t>Final Plancheck Fee</t>
  </si>
  <si>
    <t>/Hour</t>
  </si>
  <si>
    <t>Hr</t>
  </si>
  <si>
    <t xml:space="preserve"> Plan Check Fee Paid</t>
  </si>
  <si>
    <t>========================================</t>
  </si>
  <si>
    <t xml:space="preserve"> Subtract Fee Paid from Checking or Revision Fee</t>
  </si>
  <si>
    <t xml:space="preserve">PLAN CHECK FEE DUE   </t>
  </si>
  <si>
    <t>Pusuant to section 21.44.065 (4) of Title 21 of the County Code.</t>
  </si>
  <si>
    <t>BOND AMOUNT CALCULATION</t>
  </si>
  <si>
    <t xml:space="preserve"> EARTHWORK VOLUME:                        </t>
  </si>
  <si>
    <t>Yardage</t>
  </si>
  <si>
    <t>Bond Amounts</t>
  </si>
  <si>
    <t xml:space="preserve"> Zero to 1000 C.Y……………                  </t>
  </si>
  <si>
    <t xml:space="preserve"> 1001 to 100,000 C.Y…………</t>
  </si>
  <si>
    <t xml:space="preserve">  C.Y. X   </t>
  </si>
  <si>
    <t>=</t>
  </si>
  <si>
    <t xml:space="preserve"> Greater than 100,000 C.Y.</t>
  </si>
  <si>
    <t xml:space="preserve">EARTHWORK TOTAL  = </t>
  </si>
  <si>
    <t xml:space="preserve"> DRAINAGE DEVICES: (See Cost Estimate) ………………..</t>
  </si>
  <si>
    <t xml:space="preserve">……………………………………………..= </t>
  </si>
  <si>
    <t xml:space="preserve"> TOTAL BOND AMOUNT = EARTHWORK TOTAL + DRAINAGE DEVICES</t>
  </si>
  <si>
    <t>BOND AMOUNT  =</t>
  </si>
  <si>
    <t>USE</t>
  </si>
  <si>
    <t>Volume (CY)</t>
  </si>
  <si>
    <t>Base Fee plus % of Volume</t>
  </si>
  <si>
    <t>10,000  or less</t>
  </si>
  <si>
    <t>10,001 to 100,000</t>
  </si>
  <si>
    <t>CY</t>
  </si>
  <si>
    <t>100,001 to 500,000</t>
  </si>
  <si>
    <t>500,001 to 1,000,000</t>
  </si>
  <si>
    <t>1,000,000 &amp; over</t>
  </si>
  <si>
    <t>Plan Check Fee Calculation (a)</t>
  </si>
  <si>
    <t>10% of the original fee for each submital after the 5th (b)</t>
  </si>
  <si>
    <t>(a) The fee for the first five plan reviews is based on the estimated yardage:</t>
  </si>
  <si>
    <t>(b) After the fifth submittal - 10% of the original fee for each submittal.</t>
  </si>
  <si>
    <t xml:space="preserve">Revision Fee (c) </t>
  </si>
  <si>
    <t>Lump Sum (fill in dollar amount)</t>
  </si>
  <si>
    <t>Valuation for Plan Check Fee (A+15%Contingency) (S)</t>
  </si>
  <si>
    <t>Valuation Total (S)</t>
  </si>
  <si>
    <t>Plan Check Fee (T)</t>
  </si>
  <si>
    <t>Total Plan Check Fee that covers up to 4 submittals* (See Table 1, based on valuation plus (R)) (T)</t>
  </si>
  <si>
    <t xml:space="preserve">Is Signing &amp; Striping required?  If yes, fill in the plan check deposit amount to the right. (R) </t>
  </si>
  <si>
    <t>Base value (FY 13-14)</t>
  </si>
  <si>
    <t>General CPI</t>
  </si>
  <si>
    <t>Water CPI</t>
  </si>
  <si>
    <t>FY</t>
  </si>
  <si>
    <t>CPI Factor (1+CPI/100)</t>
  </si>
  <si>
    <t>2014-2015</t>
  </si>
  <si>
    <t>2015-2016</t>
  </si>
  <si>
    <t>2016-2017</t>
  </si>
  <si>
    <t>2017-2018</t>
  </si>
  <si>
    <t>2018-2019</t>
  </si>
  <si>
    <t>2019-2020</t>
  </si>
  <si>
    <t>2020-2021</t>
  </si>
  <si>
    <t>2021-2022</t>
  </si>
  <si>
    <t>2022-2023</t>
  </si>
  <si>
    <t>2023-2024</t>
  </si>
  <si>
    <t>2024-2025</t>
  </si>
  <si>
    <t>2025-2026</t>
  </si>
  <si>
    <t>2026-2027</t>
  </si>
  <si>
    <t>2027-2028</t>
  </si>
  <si>
    <t>2028-2029</t>
  </si>
  <si>
    <t>2029-2030</t>
  </si>
  <si>
    <t>2030-2031</t>
  </si>
  <si>
    <t>2031-2032</t>
  </si>
  <si>
    <t>2032-2033</t>
  </si>
  <si>
    <t>2033-2034</t>
  </si>
  <si>
    <t>2034-2035</t>
  </si>
  <si>
    <t>2035-2036</t>
  </si>
  <si>
    <t>2036-2037</t>
  </si>
  <si>
    <t>2037-2038</t>
  </si>
  <si>
    <t>2038-2039</t>
  </si>
  <si>
    <t>2039-2040</t>
  </si>
  <si>
    <t>2040-2041</t>
  </si>
  <si>
    <t>2041-2042</t>
  </si>
  <si>
    <t>2042-2043</t>
  </si>
  <si>
    <t>2043-2044</t>
  </si>
  <si>
    <t>P:\ldpub\Permits\Admin\Permit Fee Adjustments</t>
  </si>
  <si>
    <t>Catch Basins (values used to calculate plan checking fee only)</t>
  </si>
  <si>
    <t>Improvement Total (H)</t>
  </si>
  <si>
    <t xml:space="preserve">General Instructions on updating the spreadsheet:                
1. Update the effective date on the title sheet.                
2. For individual line items that need to be updated by the CPI, just enter the CPI in the appropriate line in the table below. Do not modify previous years' CPI.              
3. Update plan checking fee valuation schedule per LDD admin.                
4. Obtain inspection fee schedule from LDD Permits section or at the following location on the p-drive:  P:\ldpub\Permits\Admin\Permit Fee Adjustments\FY 13-14\PDF Files (the fiscal year will be updated each year, accordingly).  See Hyperlink below.                
5. Update the notes, as there may be updates to the costs for review of revised plans.                
6. The Sewer inspection fee is structured quite differently.  Update the reference cells based on the upper and lower limits contained in the chart, and then pay close attention to the fractional portions of $1000 (that is, the equation multiplies the extents of the first tier by the corresponding additional amount, the same for the second tier, and then the third tier.)                
7. We do not check the inspection fee for the Water bond (that is, only the Improvement Total is counted towards the bond amount).                
8. Note that the Inspection Fees are based on the sum of the Subtotal and Contingency amounts - that is, they do not include the Traffic Control Plan and / or Inflation.                
9. Update the footers for each tab with the upcoming effective date for the fees.                
10. Lock all of the equations and "Total Cost" cells.  First, highlight all of the cells you want to keep unlocked, right click, go to Format Cells, Protection tab, and un-click the "Locked" option.  Then Go to the Review tab at the top.  Click on Protect Sheet.  Type in a password (keep a record of it), then retype it in and press ok.                 
</t>
  </si>
  <si>
    <t xml:space="preserve">     72"</t>
  </si>
  <si>
    <t xml:space="preserve">     84"</t>
  </si>
  <si>
    <t xml:space="preserve">     96"</t>
  </si>
  <si>
    <t xml:space="preserve">     102"</t>
  </si>
  <si>
    <t xml:space="preserve">     114"</t>
  </si>
  <si>
    <t>Rubber Gasketed Reinforced Concrete Pipe</t>
  </si>
  <si>
    <t xml:space="preserve">     300, W=3.5'</t>
  </si>
  <si>
    <t xml:space="preserve">     300, W=7'</t>
  </si>
  <si>
    <t xml:space="preserve">     300, W=10'</t>
  </si>
  <si>
    <t xml:space="preserve">     300, W=14'</t>
  </si>
  <si>
    <t xml:space="preserve">     300, W=21'</t>
  </si>
  <si>
    <t xml:space="preserve">     300, W=28'</t>
  </si>
  <si>
    <t xml:space="preserve">     323</t>
  </si>
  <si>
    <t xml:space="preserve">     330</t>
  </si>
  <si>
    <t xml:space="preserve">     57"</t>
  </si>
  <si>
    <t>CPI Starting 07/2019 because based unit prices were calculated on 12/2018</t>
  </si>
  <si>
    <t>LANDSCAPING PLANCHECK AND INSPECTION FEES</t>
  </si>
  <si>
    <t>Number of Landscaping Plan Sheets</t>
  </si>
  <si>
    <t>Area of Landscaping in Square Feet  (RR)</t>
  </si>
  <si>
    <t>Landscaping Plancheck *</t>
  </si>
  <si>
    <t>Contingency (15% x RR=SS)</t>
  </si>
  <si>
    <t>Total Landscape Area (RR+SS=TT)</t>
  </si>
  <si>
    <t>Inspection (Use Table 3) (VV)</t>
  </si>
  <si>
    <t>Inspection fee is Rounded up to nearest thousand.</t>
  </si>
  <si>
    <t>Pursuant to Section 20.12.091 of Title 20 of the County Code, fees are collected as follows: (a) Water Appeals Board filing fee $1,853.00 to be applied to the Department of Public Works.  (b) Water Appeals Board filing fee $139.00 to be applied to the Fire Department.</t>
  </si>
  <si>
    <t>*Landscaping deposit is $390/sheet (minimum). The County may ask for an additional deposit to cover its review cost.</t>
  </si>
  <si>
    <t>(d) A fee of $478.00 to be applied to the fire department.</t>
  </si>
  <si>
    <t>Inspection Fee (YY)</t>
  </si>
  <si>
    <t>$0.06 per square foot (rounded up to the nearest thousand)</t>
  </si>
  <si>
    <t>TABLE 3: Inspection Fees Calculation</t>
  </si>
  <si>
    <t>Where the water system includes fire hydrants a fee, to be applied to the Fire Department, of $247.00 for the first ten hydrants and $40.00 per hydrant in excess of ten</t>
  </si>
  <si>
    <t>1. Revisions - Fee is based on $984.00 for each 1,000 ft of the affected length of the Water Main Line</t>
  </si>
  <si>
    <t xml:space="preserve">*Plan Checks beyond the 4th submittal will require an additional payment in the amount of $457 per sheet, per submittal.  </t>
  </si>
  <si>
    <t xml:space="preserve"> Effective July 1, 2025</t>
  </si>
  <si>
    <r>
      <t xml:space="preserve">Revisions to an already approved plan will require a fee in the amount of </t>
    </r>
    <r>
      <rPr>
        <b/>
        <u/>
        <sz val="10"/>
        <rFont val="Arial"/>
        <family val="2"/>
      </rPr>
      <t>$471 per sheet, per submittal</t>
    </r>
    <r>
      <rPr>
        <b/>
        <sz val="10"/>
        <rFont val="Arial"/>
        <family val="2"/>
      </rPr>
      <t xml:space="preserve">. </t>
    </r>
  </si>
  <si>
    <t xml:space="preserve">Improvement Total I and O do not include inflation for inspection fees calculation. </t>
  </si>
  <si>
    <t xml:space="preserve">Land Development Division's Permit Section upon request for permit issuance.  </t>
  </si>
  <si>
    <t>GRADING PLAN CHECK FEE AND BOND AMOUNT WORKSHEET              2025/2026</t>
  </si>
  <si>
    <t>(c) Revisions - Fee is based on $231.00 per hour.</t>
  </si>
  <si>
    <t>(e) A fee of $691.00 if the project includes a Quimby park.</t>
  </si>
  <si>
    <t>(f) A fee of $1,060.00 if the project includes a publicly dedicated trail, to be 
    applied to the Department of Parks and Recreation.</t>
  </si>
  <si>
    <t>2. Minor revision - $306.00 per sheet</t>
  </si>
  <si>
    <t>1. After the third submittal - Fee is based on $231.00 per hour</t>
  </si>
  <si>
    <t>2. Revisions - Fee is based on $231.00 per hour</t>
  </si>
  <si>
    <t>3. Sewer Area Study - Fee is based on $231.00 per hour with an initial deposit of $3000.00</t>
  </si>
  <si>
    <t>D.  For additional work approved by the County Engineer but not included in the original permit, the applicant shall pay a base fee of $25 and an additional fee of $25 for each $100, or fractional part thereof, of the total valuation of such additional work.</t>
  </si>
  <si>
    <t>Pursuant to Section 20.08.090 of Title 20 of the County Code, fees are collected as follows: (a) Processing a Certificate of Registration or a Water Utility Authorization $707.00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</si>
</sst>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quot;$&quot;* #,##0.0_);_(&quot;$&quot;* \(#,##0.0\);_(&quot;$&quot;* &quot;-&quot;??_);_(@_)"/>
    <numFmt numFmtId="166" formatCode="&quot;$&quot;#,##0.000_);[Red]\(&quot;$&quot;#,##0.000\)"/>
    <numFmt numFmtId="167" formatCode="_(* #,##0_);_(* \(#,##0\);_(* &quot;-&quot;??_);_(@_)"/>
    <numFmt numFmtId="168" formatCode="&quot;$&quot;#,##0"/>
    <numFmt numFmtId="169" formatCode="_(&quot;$&quot;* #,##0.0000_);_(&quot;$&quot;* \(#,##0.0000\);_(&quot;$&quot;* &quot;-&quot;??_);_(@_)"/>
    <numFmt numFmtId="170" formatCode="_(&quot;$&quot;* #,##0_);_(&quot;$&quot;* \(#,##0\);_(&quot;$&quot;* &quot;-&quot;??_);_(@_)"/>
    <numFmt numFmtId="171" formatCode="#,##0.0000000"/>
    <numFmt numFmtId="172" formatCode="0.0"/>
  </numFmts>
  <fonts count="25" x14ac:knownFonts="1">
    <font>
      <sz val="10"/>
      <name val="Arial"/>
    </font>
    <font>
      <sz val="10"/>
      <name val="Arial"/>
      <family val="2"/>
    </font>
    <font>
      <b/>
      <i/>
      <sz val="10"/>
      <name val="Arial"/>
      <family val="2"/>
    </font>
    <font>
      <sz val="10"/>
      <name val="Arial"/>
      <family val="2"/>
    </font>
    <font>
      <b/>
      <sz val="10"/>
      <name val="Arial"/>
      <family val="2"/>
    </font>
    <font>
      <b/>
      <sz val="10"/>
      <color indexed="8"/>
      <name val="Arial"/>
      <family val="2"/>
    </font>
    <font>
      <sz val="10"/>
      <color indexed="8"/>
      <name val="Arial"/>
      <family val="2"/>
    </font>
    <font>
      <u/>
      <sz val="10"/>
      <name val="Arial"/>
      <family val="2"/>
    </font>
    <font>
      <b/>
      <sz val="18"/>
      <name val="Arial"/>
      <family val="2"/>
    </font>
    <font>
      <b/>
      <i/>
      <sz val="11"/>
      <name val="Arial"/>
      <family val="2"/>
    </font>
    <font>
      <u/>
      <sz val="12"/>
      <name val="Arial"/>
      <family val="2"/>
    </font>
    <font>
      <sz val="12"/>
      <name val="Arial"/>
      <family val="2"/>
    </font>
    <font>
      <b/>
      <sz val="12"/>
      <name val="Arial"/>
      <family val="2"/>
    </font>
    <font>
      <sz val="11"/>
      <name val="Arial"/>
      <family val="2"/>
    </font>
    <font>
      <sz val="8"/>
      <name val="Arial"/>
      <family val="2"/>
    </font>
    <font>
      <sz val="7"/>
      <name val="Arial"/>
      <family val="2"/>
    </font>
    <font>
      <b/>
      <u/>
      <sz val="10"/>
      <name val="Arial"/>
      <family val="2"/>
    </font>
    <font>
      <sz val="8.5"/>
      <name val="Arial"/>
      <family val="2"/>
    </font>
    <font>
      <b/>
      <sz val="8.5"/>
      <name val="Arial"/>
      <family val="2"/>
    </font>
    <font>
      <b/>
      <u/>
      <sz val="12"/>
      <name val="Arial"/>
      <family val="2"/>
    </font>
    <font>
      <sz val="12"/>
      <color indexed="8"/>
      <name val="Arial"/>
      <family val="2"/>
    </font>
    <font>
      <u/>
      <sz val="10"/>
      <color theme="10"/>
      <name val="Arial"/>
      <family val="2"/>
    </font>
    <font>
      <sz val="10"/>
      <color theme="0"/>
      <name val="Arial"/>
      <family val="2"/>
    </font>
    <font>
      <b/>
      <sz val="11"/>
      <color theme="1"/>
      <name val="Calibri"/>
      <family val="2"/>
      <scheme val="minor"/>
    </font>
    <font>
      <u val="singleAccounting"/>
      <sz val="10"/>
      <name val="Arial"/>
      <family val="2"/>
    </font>
  </fonts>
  <fills count="11">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rgb="FF00B050"/>
        <bgColor indexed="64"/>
      </patternFill>
    </fill>
    <fill>
      <patternFill patternType="solid">
        <fgColor rgb="FF66FFFF"/>
        <bgColor indexed="64"/>
      </patternFill>
    </fill>
    <fill>
      <patternFill patternType="solid">
        <fgColor indexed="40"/>
        <bgColor indexed="64"/>
      </patternFill>
    </fill>
    <fill>
      <patternFill patternType="solid">
        <fgColor theme="0"/>
        <bgColor indexed="64"/>
      </patternFill>
    </fill>
    <fill>
      <patternFill patternType="solid">
        <fgColor rgb="FF00B0F0"/>
        <bgColor indexed="64"/>
      </patternFill>
    </fill>
    <fill>
      <patternFill patternType="solid">
        <fgColor rgb="FFFFFF99"/>
        <bgColor indexed="64"/>
      </patternFill>
    </fill>
  </fills>
  <borders count="7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1" fillId="0" borderId="0" applyNumberFormat="0" applyFill="0" applyBorder="0" applyAlignment="0" applyProtection="0"/>
  </cellStyleXfs>
  <cellXfs count="551">
    <xf numFmtId="0" fontId="0" fillId="0" borderId="0" xfId="0"/>
    <xf numFmtId="0" fontId="4" fillId="0" borderId="0" xfId="0" applyFont="1"/>
    <xf numFmtId="0" fontId="3" fillId="0" borderId="0" xfId="0" applyFont="1"/>
    <xf numFmtId="3" fontId="3" fillId="4" borderId="2" xfId="1" applyNumberFormat="1" applyFont="1" applyFill="1" applyBorder="1" applyProtection="1">
      <protection locked="0"/>
    </xf>
    <xf numFmtId="3" fontId="3" fillId="4" borderId="32" xfId="1" applyNumberFormat="1" applyFont="1" applyFill="1" applyBorder="1" applyProtection="1">
      <protection locked="0"/>
    </xf>
    <xf numFmtId="3" fontId="3" fillId="4" borderId="11" xfId="1" applyNumberFormat="1" applyFont="1" applyFill="1" applyBorder="1" applyProtection="1">
      <protection locked="0"/>
    </xf>
    <xf numFmtId="3" fontId="3" fillId="4" borderId="40" xfId="1" applyNumberFormat="1" applyFont="1" applyFill="1" applyBorder="1" applyProtection="1">
      <protection locked="0"/>
    </xf>
    <xf numFmtId="3" fontId="0" fillId="4" borderId="1" xfId="0" applyNumberFormat="1" applyFill="1" applyBorder="1" applyAlignment="1" applyProtection="1">
      <alignment horizontal="center"/>
      <protection locked="0"/>
    </xf>
    <xf numFmtId="3" fontId="3" fillId="4" borderId="2" xfId="0" applyNumberFormat="1" applyFont="1" applyFill="1" applyBorder="1" applyProtection="1">
      <protection locked="0"/>
    </xf>
    <xf numFmtId="3" fontId="3" fillId="4" borderId="2" xfId="1" applyNumberFormat="1" applyFont="1" applyFill="1" applyBorder="1" applyAlignment="1" applyProtection="1">
      <alignment horizontal="right"/>
      <protection locked="0"/>
    </xf>
    <xf numFmtId="3" fontId="3" fillId="4" borderId="42" xfId="1" applyNumberFormat="1" applyFont="1" applyFill="1" applyBorder="1" applyProtection="1">
      <protection locked="0"/>
    </xf>
    <xf numFmtId="44" fontId="3" fillId="0" borderId="15" xfId="1" applyFont="1" applyBorder="1" applyProtection="1">
      <protection locked="0"/>
    </xf>
    <xf numFmtId="0" fontId="3" fillId="0" borderId="37" xfId="0" applyFont="1" applyBorder="1" applyProtection="1">
      <protection locked="0"/>
    </xf>
    <xf numFmtId="0" fontId="3" fillId="0" borderId="27" xfId="0" applyFont="1" applyBorder="1" applyProtection="1">
      <protection locked="0"/>
    </xf>
    <xf numFmtId="0" fontId="3" fillId="0" borderId="37" xfId="0" quotePrefix="1" applyFont="1" applyBorder="1" applyProtection="1">
      <protection locked="0"/>
    </xf>
    <xf numFmtId="0" fontId="3" fillId="0" borderId="22" xfId="0" quotePrefix="1" applyFont="1" applyBorder="1" applyProtection="1">
      <protection locked="0"/>
    </xf>
    <xf numFmtId="44" fontId="3" fillId="0" borderId="23" xfId="1" applyFont="1" applyBorder="1" applyProtection="1">
      <protection locked="0"/>
    </xf>
    <xf numFmtId="0" fontId="3" fillId="0" borderId="36" xfId="0" applyFont="1" applyBorder="1" applyProtection="1">
      <protection locked="0"/>
    </xf>
    <xf numFmtId="0" fontId="3" fillId="0" borderId="22" xfId="0" applyFont="1" applyBorder="1" applyProtection="1">
      <protection locked="0"/>
    </xf>
    <xf numFmtId="0" fontId="3" fillId="0" borderId="62" xfId="0" applyFont="1" applyBorder="1" applyProtection="1">
      <protection locked="0"/>
    </xf>
    <xf numFmtId="3" fontId="3" fillId="4" borderId="63" xfId="1" applyNumberFormat="1" applyFont="1" applyFill="1" applyBorder="1" applyProtection="1">
      <protection locked="0"/>
    </xf>
    <xf numFmtId="44" fontId="3" fillId="0" borderId="52" xfId="1" applyFont="1" applyBorder="1" applyProtection="1">
      <protection locked="0"/>
    </xf>
    <xf numFmtId="0" fontId="3" fillId="0" borderId="14" xfId="0" applyFont="1" applyBorder="1" applyProtection="1">
      <protection locked="0"/>
    </xf>
    <xf numFmtId="167" fontId="11" fillId="2" borderId="0" xfId="3" applyNumberFormat="1" applyFont="1" applyFill="1" applyBorder="1" applyProtection="1">
      <protection locked="0"/>
    </xf>
    <xf numFmtId="167" fontId="11" fillId="2" borderId="69" xfId="3" applyNumberFormat="1" applyFont="1" applyFill="1" applyBorder="1" applyProtection="1">
      <protection locked="0"/>
    </xf>
    <xf numFmtId="0" fontId="20" fillId="2" borderId="0" xfId="0" applyFont="1" applyFill="1" applyAlignment="1" applyProtection="1">
      <alignment horizontal="center"/>
      <protection locked="0"/>
    </xf>
    <xf numFmtId="0" fontId="11" fillId="2" borderId="0" xfId="0" applyFont="1" applyFill="1" applyAlignment="1" applyProtection="1">
      <alignment horizontal="left"/>
      <protection locked="0"/>
    </xf>
    <xf numFmtId="44" fontId="11" fillId="2" borderId="0" xfId="1" applyFont="1" applyFill="1" applyBorder="1" applyAlignment="1" applyProtection="1">
      <alignment horizontal="left"/>
      <protection locked="0"/>
    </xf>
    <xf numFmtId="44" fontId="11" fillId="2" borderId="0" xfId="1" applyFont="1" applyFill="1" applyBorder="1" applyProtection="1">
      <protection locked="0"/>
    </xf>
    <xf numFmtId="3" fontId="0" fillId="4" borderId="1" xfId="0" applyNumberFormat="1" applyFill="1" applyBorder="1" applyAlignment="1" applyProtection="1">
      <alignment horizontal="center" vertical="center"/>
      <protection locked="0"/>
    </xf>
    <xf numFmtId="3" fontId="0" fillId="4" borderId="11" xfId="0" applyNumberFormat="1" applyFill="1" applyBorder="1" applyAlignment="1" applyProtection="1">
      <alignment horizontal="center"/>
      <protection locked="0"/>
    </xf>
    <xf numFmtId="3" fontId="3" fillId="4" borderId="15" xfId="1" applyNumberFormat="1" applyFont="1" applyFill="1" applyBorder="1" applyProtection="1">
      <protection locked="0"/>
    </xf>
    <xf numFmtId="0" fontId="0" fillId="0" borderId="0" xfId="0" applyAlignment="1">
      <alignment wrapText="1"/>
    </xf>
    <xf numFmtId="44" fontId="3" fillId="0" borderId="21" xfId="1" applyFont="1" applyBorder="1" applyProtection="1">
      <protection locked="0"/>
    </xf>
    <xf numFmtId="0" fontId="1" fillId="0" borderId="0" xfId="0" applyFont="1" applyAlignment="1">
      <alignment wrapText="1"/>
    </xf>
    <xf numFmtId="0" fontId="1" fillId="0" borderId="0" xfId="4" applyAlignment="1">
      <alignment wrapText="1"/>
    </xf>
    <xf numFmtId="0" fontId="1" fillId="0" borderId="0" xfId="4"/>
    <xf numFmtId="0" fontId="1" fillId="0" borderId="27" xfId="4" applyBorder="1"/>
    <xf numFmtId="0" fontId="1" fillId="4" borderId="11" xfId="5" applyNumberFormat="1" applyFont="1" applyFill="1" applyBorder="1" applyProtection="1">
      <protection locked="0"/>
    </xf>
    <xf numFmtId="0" fontId="1" fillId="4" borderId="2" xfId="5" applyNumberFormat="1" applyFont="1" applyFill="1" applyBorder="1" applyProtection="1">
      <protection locked="0"/>
    </xf>
    <xf numFmtId="44" fontId="3" fillId="0" borderId="36" xfId="1" applyFont="1" applyBorder="1" applyProtection="1">
      <protection locked="0"/>
    </xf>
    <xf numFmtId="0" fontId="21" fillId="0" borderId="0" xfId="8"/>
    <xf numFmtId="3" fontId="3" fillId="0" borderId="2" xfId="1" applyNumberFormat="1" applyFont="1" applyBorder="1" applyProtection="1">
      <protection locked="0"/>
    </xf>
    <xf numFmtId="44" fontId="1" fillId="0" borderId="21" xfId="1" applyFont="1" applyBorder="1" applyProtection="1">
      <protection locked="0"/>
    </xf>
    <xf numFmtId="0" fontId="3" fillId="0" borderId="16" xfId="0" applyFont="1" applyBorder="1" applyProtection="1">
      <protection locked="0"/>
    </xf>
    <xf numFmtId="44" fontId="1" fillId="0" borderId="15" xfId="1" applyFont="1" applyBorder="1" applyProtection="1">
      <protection locked="0"/>
    </xf>
    <xf numFmtId="44" fontId="3" fillId="0" borderId="0" xfId="1" applyFont="1" applyBorder="1" applyProtection="1">
      <protection locked="0"/>
    </xf>
    <xf numFmtId="0" fontId="3" fillId="0" borderId="0" xfId="0" applyFont="1" applyProtection="1">
      <protection locked="0"/>
    </xf>
    <xf numFmtId="3" fontId="3" fillId="0" borderId="2" xfId="1" applyNumberFormat="1" applyFont="1" applyFill="1" applyBorder="1" applyProtection="1">
      <protection locked="0"/>
    </xf>
    <xf numFmtId="0" fontId="3" fillId="0" borderId="21" xfId="0" applyFont="1" applyBorder="1" applyProtection="1">
      <protection locked="0"/>
    </xf>
    <xf numFmtId="44" fontId="3" fillId="0" borderId="6" xfId="1" applyFont="1" applyBorder="1" applyProtection="1">
      <protection locked="0"/>
    </xf>
    <xf numFmtId="44" fontId="3" fillId="0" borderId="17" xfId="0" applyNumberFormat="1" applyFont="1" applyBorder="1"/>
    <xf numFmtId="0" fontId="1" fillId="0" borderId="39" xfId="0" applyFont="1" applyBorder="1" applyProtection="1">
      <protection locked="0"/>
    </xf>
    <xf numFmtId="44" fontId="1" fillId="0" borderId="15" xfId="1" applyFont="1" applyBorder="1" applyProtection="1"/>
    <xf numFmtId="44" fontId="3" fillId="0" borderId="2" xfId="0" applyNumberFormat="1" applyFont="1" applyBorder="1"/>
    <xf numFmtId="44" fontId="0" fillId="0" borderId="2" xfId="0" applyNumberFormat="1" applyBorder="1"/>
    <xf numFmtId="44" fontId="6" fillId="3" borderId="1" xfId="0" applyNumberFormat="1" applyFont="1" applyFill="1" applyBorder="1"/>
    <xf numFmtId="44" fontId="0" fillId="0" borderId="46" xfId="0" applyNumberFormat="1" applyBorder="1"/>
    <xf numFmtId="44" fontId="3" fillId="0" borderId="2" xfId="1" applyFont="1" applyBorder="1" applyProtection="1"/>
    <xf numFmtId="44" fontId="3" fillId="0" borderId="32" xfId="0" applyNumberFormat="1" applyFont="1" applyBorder="1"/>
    <xf numFmtId="44" fontId="3" fillId="3" borderId="1" xfId="0" applyNumberFormat="1" applyFont="1" applyFill="1" applyBorder="1"/>
    <xf numFmtId="44" fontId="3" fillId="0" borderId="43" xfId="0" applyNumberFormat="1" applyFont="1" applyBorder="1"/>
    <xf numFmtId="44" fontId="0" fillId="0" borderId="32" xfId="0" applyNumberFormat="1" applyBorder="1"/>
    <xf numFmtId="44" fontId="0" fillId="0" borderId="2" xfId="1" applyFont="1" applyBorder="1" applyAlignment="1" applyProtection="1"/>
    <xf numFmtId="44" fontId="0" fillId="3" borderId="1" xfId="1" applyFont="1" applyFill="1" applyBorder="1" applyAlignment="1" applyProtection="1">
      <alignment horizontal="center"/>
    </xf>
    <xf numFmtId="44" fontId="0" fillId="0" borderId="40" xfId="0" applyNumberFormat="1" applyBorder="1"/>
    <xf numFmtId="44" fontId="0" fillId="3" borderId="1" xfId="1" applyFont="1" applyFill="1" applyBorder="1" applyProtection="1"/>
    <xf numFmtId="0" fontId="3" fillId="0" borderId="0" xfId="0" applyFont="1" applyAlignment="1">
      <alignment horizontal="left" vertical="top"/>
    </xf>
    <xf numFmtId="167" fontId="12" fillId="0" borderId="0" xfId="3" applyNumberFormat="1" applyFont="1" applyFill="1" applyBorder="1" applyProtection="1"/>
    <xf numFmtId="5" fontId="11" fillId="0" borderId="0" xfId="1" applyNumberFormat="1" applyFont="1" applyProtection="1"/>
    <xf numFmtId="167" fontId="11" fillId="0" borderId="0" xfId="0" applyNumberFormat="1" applyFont="1"/>
    <xf numFmtId="44" fontId="11" fillId="0" borderId="0" xfId="1" applyFont="1" applyBorder="1" applyProtection="1"/>
    <xf numFmtId="5" fontId="11" fillId="0" borderId="0" xfId="1" applyNumberFormat="1" applyFont="1" applyBorder="1" applyProtection="1"/>
    <xf numFmtId="5" fontId="12" fillId="0" borderId="2" xfId="1" applyNumberFormat="1" applyFont="1" applyFill="1" applyBorder="1" applyAlignment="1" applyProtection="1">
      <alignment horizontal="right"/>
    </xf>
    <xf numFmtId="164" fontId="11" fillId="0" borderId="0" xfId="0" applyNumberFormat="1" applyFont="1" applyAlignment="1">
      <alignment horizontal="right"/>
    </xf>
    <xf numFmtId="167" fontId="11" fillId="0" borderId="0" xfId="3" applyNumberFormat="1" applyFont="1" applyBorder="1" applyAlignment="1" applyProtection="1"/>
    <xf numFmtId="0" fontId="11" fillId="0" borderId="0" xfId="0" applyFont="1" applyAlignment="1">
      <alignment horizontal="right"/>
    </xf>
    <xf numFmtId="44" fontId="11" fillId="0" borderId="0" xfId="1" applyFont="1" applyBorder="1" applyAlignment="1" applyProtection="1"/>
    <xf numFmtId="170" fontId="12" fillId="0" borderId="2" xfId="1" applyNumberFormat="1" applyFont="1" applyFill="1" applyBorder="1" applyProtection="1"/>
    <xf numFmtId="0" fontId="1" fillId="0" borderId="0" xfId="0" applyFont="1"/>
    <xf numFmtId="0" fontId="3" fillId="0" borderId="12" xfId="0" applyFont="1" applyBorder="1"/>
    <xf numFmtId="44" fontId="0" fillId="0" borderId="17" xfId="0" applyNumberFormat="1" applyBorder="1"/>
    <xf numFmtId="44" fontId="0" fillId="0" borderId="25" xfId="0" applyNumberFormat="1" applyBorder="1"/>
    <xf numFmtId="44" fontId="0" fillId="0" borderId="31" xfId="0" applyNumberFormat="1" applyBorder="1"/>
    <xf numFmtId="44" fontId="3" fillId="0" borderId="2" xfId="1" applyFont="1" applyFill="1" applyBorder="1" applyProtection="1"/>
    <xf numFmtId="5" fontId="11" fillId="0" borderId="69" xfId="1" applyNumberFormat="1" applyFont="1" applyBorder="1" applyProtection="1"/>
    <xf numFmtId="44" fontId="0" fillId="0" borderId="38" xfId="0" applyNumberFormat="1" applyBorder="1"/>
    <xf numFmtId="44" fontId="0" fillId="0" borderId="13" xfId="0" applyNumberFormat="1" applyBorder="1"/>
    <xf numFmtId="44" fontId="0" fillId="0" borderId="5" xfId="0" applyNumberFormat="1" applyBorder="1"/>
    <xf numFmtId="44" fontId="0" fillId="0" borderId="1" xfId="0" applyNumberFormat="1" applyBorder="1"/>
    <xf numFmtId="44" fontId="0" fillId="0" borderId="35" xfId="0" applyNumberFormat="1" applyBorder="1"/>
    <xf numFmtId="44" fontId="6" fillId="6" borderId="1" xfId="0" applyNumberFormat="1" applyFont="1" applyFill="1" applyBorder="1"/>
    <xf numFmtId="44" fontId="3" fillId="0" borderId="38" xfId="0" applyNumberFormat="1" applyFont="1" applyBorder="1"/>
    <xf numFmtId="44" fontId="3" fillId="6" borderId="1" xfId="0" applyNumberFormat="1" applyFont="1" applyFill="1" applyBorder="1"/>
    <xf numFmtId="44" fontId="3" fillId="0" borderId="56" xfId="1" applyFont="1" applyBorder="1" applyProtection="1"/>
    <xf numFmtId="44" fontId="0" fillId="6" borderId="1" xfId="1" applyFont="1" applyFill="1" applyBorder="1" applyProtection="1"/>
    <xf numFmtId="2" fontId="3" fillId="0" borderId="32" xfId="1" applyNumberFormat="1" applyFont="1" applyFill="1" applyBorder="1" applyProtection="1"/>
    <xf numFmtId="164" fontId="22" fillId="0" borderId="0" xfId="0" applyNumberFormat="1" applyFont="1"/>
    <xf numFmtId="44" fontId="22" fillId="0" borderId="0" xfId="1" applyFont="1" applyFill="1" applyAlignment="1" applyProtection="1">
      <alignment vertical="center"/>
    </xf>
    <xf numFmtId="3" fontId="4" fillId="0" borderId="0" xfId="0" applyNumberFormat="1" applyFont="1"/>
    <xf numFmtId="44" fontId="3" fillId="0" borderId="0" xfId="1" applyFont="1" applyProtection="1"/>
    <xf numFmtId="3" fontId="3" fillId="0" borderId="0" xfId="0" applyNumberFormat="1" applyFont="1"/>
    <xf numFmtId="0" fontId="2" fillId="5" borderId="1" xfId="0" applyFont="1" applyFill="1" applyBorder="1" applyAlignment="1">
      <alignment horizontal="center"/>
    </xf>
    <xf numFmtId="3" fontId="2" fillId="5" borderId="1" xfId="0" applyNumberFormat="1" applyFont="1" applyFill="1" applyBorder="1" applyAlignment="1">
      <alignment horizontal="center"/>
    </xf>
    <xf numFmtId="0" fontId="3" fillId="0" borderId="10" xfId="0" applyFont="1" applyBorder="1"/>
    <xf numFmtId="3" fontId="3" fillId="0" borderId="11" xfId="0" applyNumberFormat="1" applyFont="1" applyBorder="1"/>
    <xf numFmtId="0" fontId="3" fillId="0" borderId="13" xfId="0" applyFont="1" applyBorder="1"/>
    <xf numFmtId="0" fontId="3" fillId="0" borderId="14" xfId="0" applyFont="1" applyBorder="1"/>
    <xf numFmtId="3" fontId="3" fillId="0" borderId="2" xfId="1" applyNumberFormat="1" applyFont="1" applyBorder="1" applyProtection="1"/>
    <xf numFmtId="44" fontId="3" fillId="0" borderId="15" xfId="1" applyFont="1" applyBorder="1" applyProtection="1"/>
    <xf numFmtId="0" fontId="3" fillId="0" borderId="21" xfId="0" applyFont="1" applyBorder="1"/>
    <xf numFmtId="0" fontId="3" fillId="0" borderId="16" xfId="0" applyFont="1" applyBorder="1"/>
    <xf numFmtId="164" fontId="3" fillId="0" borderId="16" xfId="0" applyNumberFormat="1" applyFont="1" applyBorder="1"/>
    <xf numFmtId="3" fontId="3" fillId="0" borderId="2" xfId="1" applyNumberFormat="1" applyFont="1" applyFill="1" applyBorder="1" applyProtection="1"/>
    <xf numFmtId="0" fontId="3" fillId="0" borderId="14" xfId="0" quotePrefix="1" applyFont="1" applyBorder="1"/>
    <xf numFmtId="0" fontId="3"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0" fontId="0" fillId="0" borderId="0" xfId="0" applyAlignment="1">
      <alignment horizontal="center"/>
    </xf>
    <xf numFmtId="44" fontId="3" fillId="0" borderId="21" xfId="1" applyFont="1" applyBorder="1" applyProtection="1"/>
    <xf numFmtId="0" fontId="3" fillId="0" borderId="21" xfId="0" quotePrefix="1" applyFont="1" applyBorder="1"/>
    <xf numFmtId="0" fontId="3" fillId="0" borderId="37" xfId="0" applyFont="1" applyBorder="1"/>
    <xf numFmtId="0" fontId="3" fillId="0" borderId="27" xfId="0" applyFont="1" applyBorder="1"/>
    <xf numFmtId="0" fontId="3" fillId="0" borderId="28" xfId="0" applyFont="1" applyBorder="1"/>
    <xf numFmtId="164" fontId="3" fillId="0" borderId="28" xfId="0" applyNumberFormat="1" applyFont="1" applyBorder="1"/>
    <xf numFmtId="0" fontId="3" fillId="0" borderId="24" xfId="0" applyFont="1" applyBorder="1"/>
    <xf numFmtId="44" fontId="3" fillId="0" borderId="25" xfId="0" applyNumberFormat="1" applyFont="1" applyBorder="1"/>
    <xf numFmtId="0" fontId="3" fillId="0" borderId="0" xfId="0" applyFont="1" applyAlignment="1">
      <alignment horizontal="right"/>
    </xf>
    <xf numFmtId="0" fontId="0" fillId="0" borderId="0" xfId="0" applyAlignment="1">
      <alignment horizontal="right"/>
    </xf>
    <xf numFmtId="9" fontId="3" fillId="0" borderId="0" xfId="2" applyFont="1" applyProtection="1"/>
    <xf numFmtId="44" fontId="3" fillId="0" borderId="0" xfId="0" applyNumberFormat="1" applyFont="1"/>
    <xf numFmtId="0" fontId="5" fillId="0" borderId="0" xfId="0" applyFont="1" applyAlignment="1">
      <alignment horizontal="right"/>
    </xf>
    <xf numFmtId="44" fontId="3" fillId="0" borderId="0" xfId="1" applyFont="1" applyAlignment="1" applyProtection="1">
      <alignment horizontal="right"/>
    </xf>
    <xf numFmtId="44" fontId="3" fillId="0" borderId="0" xfId="0" applyNumberFormat="1" applyFont="1" applyAlignment="1">
      <alignment horizontal="right"/>
    </xf>
    <xf numFmtId="0" fontId="3" fillId="0" borderId="26" xfId="0" applyFont="1" applyBorder="1"/>
    <xf numFmtId="3" fontId="3" fillId="0" borderId="27" xfId="0" applyNumberFormat="1" applyFont="1" applyBorder="1" applyAlignment="1">
      <alignment horizontal="left"/>
    </xf>
    <xf numFmtId="44" fontId="3" fillId="0" borderId="27" xfId="1" applyFont="1" applyBorder="1" applyProtection="1"/>
    <xf numFmtId="0" fontId="4" fillId="0" borderId="6" xfId="0" applyFont="1" applyBorder="1" applyAlignment="1">
      <alignment horizontal="center"/>
    </xf>
    <xf numFmtId="44" fontId="3" fillId="0" borderId="0" xfId="1" applyFont="1" applyBorder="1" applyProtection="1"/>
    <xf numFmtId="0" fontId="3" fillId="0" borderId="29" xfId="0" applyFont="1" applyBorder="1"/>
    <xf numFmtId="0" fontId="3" fillId="0" borderId="6" xfId="0" applyFont="1" applyBorder="1"/>
    <xf numFmtId="44" fontId="0" fillId="0" borderId="0" xfId="0" applyNumberFormat="1"/>
    <xf numFmtId="0" fontId="4" fillId="0" borderId="0" xfId="0" applyFont="1" applyAlignment="1">
      <alignment horizontal="right"/>
    </xf>
    <xf numFmtId="0" fontId="3" fillId="0" borderId="18" xfId="0" applyFont="1" applyBorder="1"/>
    <xf numFmtId="3" fontId="3" fillId="0" borderId="19" xfId="0" applyNumberFormat="1" applyFont="1" applyBorder="1"/>
    <xf numFmtId="44" fontId="3" fillId="0" borderId="19" xfId="1" applyFont="1" applyBorder="1" applyProtection="1"/>
    <xf numFmtId="0" fontId="3" fillId="0" borderId="19" xfId="0" applyFont="1" applyBorder="1"/>
    <xf numFmtId="0" fontId="3" fillId="0" borderId="20" xfId="0" applyFont="1" applyBorder="1"/>
    <xf numFmtId="0" fontId="3" fillId="0" borderId="3" xfId="0" applyFont="1" applyBorder="1" applyAlignment="1">
      <alignment horizontal="left"/>
    </xf>
    <xf numFmtId="3" fontId="3" fillId="0" borderId="33" xfId="0" applyNumberFormat="1" applyFont="1" applyBorder="1" applyAlignment="1">
      <alignment horizontal="center"/>
    </xf>
    <xf numFmtId="44" fontId="3" fillId="0" borderId="33" xfId="1" applyFont="1" applyBorder="1" applyProtection="1"/>
    <xf numFmtId="0" fontId="3" fillId="0" borderId="4" xfId="0" applyFont="1" applyBorder="1"/>
    <xf numFmtId="0" fontId="7" fillId="0" borderId="7" xfId="0" applyFont="1" applyBorder="1" applyAlignment="1">
      <alignment horizontal="center" vertical="top" wrapText="1"/>
    </xf>
    <xf numFmtId="0" fontId="7" fillId="0" borderId="0" xfId="0" applyFont="1" applyAlignment="1">
      <alignment horizontal="center" vertical="top"/>
    </xf>
    <xf numFmtId="0" fontId="3" fillId="0" borderId="34" xfId="0" applyFont="1" applyBorder="1"/>
    <xf numFmtId="0" fontId="3" fillId="0" borderId="7" xfId="0" applyFont="1" applyBorder="1" applyAlignment="1">
      <alignment vertical="top" wrapText="1"/>
    </xf>
    <xf numFmtId="44" fontId="3" fillId="0" borderId="0" xfId="1" applyFont="1" applyFill="1" applyBorder="1" applyProtection="1"/>
    <xf numFmtId="44" fontId="3" fillId="0" borderId="0" xfId="1" quotePrefix="1" applyFont="1" applyFill="1" applyBorder="1" applyAlignment="1" applyProtection="1">
      <alignment horizontal="right"/>
    </xf>
    <xf numFmtId="44" fontId="3" fillId="0" borderId="0" xfId="1" applyFont="1" applyFill="1" applyBorder="1" applyAlignment="1" applyProtection="1">
      <alignment horizontal="left"/>
    </xf>
    <xf numFmtId="0" fontId="3" fillId="0" borderId="8" xfId="0" applyFont="1" applyBorder="1" applyAlignment="1">
      <alignment vertical="top" wrapText="1"/>
    </xf>
    <xf numFmtId="44" fontId="3" fillId="0" borderId="9" xfId="1" quotePrefix="1" applyFont="1" applyFill="1" applyBorder="1" applyAlignment="1" applyProtection="1">
      <alignment horizontal="right"/>
    </xf>
    <xf numFmtId="44" fontId="3" fillId="0" borderId="9" xfId="1" applyFont="1" applyFill="1" applyBorder="1" applyAlignment="1" applyProtection="1">
      <alignment horizontal="left"/>
    </xf>
    <xf numFmtId="0" fontId="12" fillId="0" borderId="41" xfId="0" applyFont="1" applyBorder="1" applyAlignment="1">
      <alignment horizontal="left" vertical="top"/>
    </xf>
    <xf numFmtId="44" fontId="3" fillId="0" borderId="0" xfId="1" applyFont="1" applyFill="1" applyProtection="1"/>
    <xf numFmtId="0" fontId="12" fillId="0" borderId="0" xfId="0" applyFont="1" applyAlignment="1">
      <alignment horizontal="left" vertical="top"/>
    </xf>
    <xf numFmtId="44" fontId="3" fillId="0" borderId="33" xfId="1" applyFont="1" applyFill="1" applyBorder="1" applyProtection="1"/>
    <xf numFmtId="44" fontId="3" fillId="0" borderId="33" xfId="1" applyFont="1" applyFill="1" applyBorder="1" applyAlignment="1" applyProtection="1">
      <alignment horizontal="left"/>
    </xf>
    <xf numFmtId="44" fontId="1" fillId="0" borderId="0" xfId="1" applyFont="1" applyFill="1" applyBorder="1" applyProtection="1"/>
    <xf numFmtId="44" fontId="1" fillId="0" borderId="0" xfId="1" quotePrefix="1" applyFont="1" applyFill="1" applyBorder="1" applyAlignment="1" applyProtection="1">
      <alignment horizontal="right"/>
    </xf>
    <xf numFmtId="44" fontId="1" fillId="0" borderId="0" xfId="1" applyFont="1" applyFill="1" applyAlignment="1" applyProtection="1">
      <alignment horizontal="left"/>
    </xf>
    <xf numFmtId="44" fontId="1" fillId="0" borderId="9" xfId="1" quotePrefix="1" applyFont="1" applyFill="1" applyBorder="1" applyAlignment="1" applyProtection="1">
      <alignment horizontal="right"/>
    </xf>
    <xf numFmtId="44" fontId="1" fillId="0" borderId="9" xfId="1" applyFont="1" applyFill="1" applyBorder="1" applyAlignment="1" applyProtection="1">
      <alignment horizontal="left"/>
    </xf>
    <xf numFmtId="3" fontId="0" fillId="0" borderId="0" xfId="0" applyNumberFormat="1"/>
    <xf numFmtId="44" fontId="1" fillId="0" borderId="0" xfId="1" applyFill="1" applyProtection="1"/>
    <xf numFmtId="44" fontId="1" fillId="0" borderId="0" xfId="1" applyProtection="1"/>
    <xf numFmtId="10" fontId="3" fillId="0" borderId="0" xfId="1" quotePrefix="1" applyNumberFormat="1" applyFont="1" applyFill="1" applyBorder="1" applyAlignment="1" applyProtection="1"/>
    <xf numFmtId="6" fontId="3" fillId="0" borderId="34" xfId="0" applyNumberFormat="1" applyFont="1" applyBorder="1" applyAlignment="1">
      <alignment horizontal="left"/>
    </xf>
    <xf numFmtId="44" fontId="3" fillId="0" borderId="9" xfId="1" applyFont="1" applyFill="1" applyBorder="1" applyProtection="1"/>
    <xf numFmtId="10" fontId="3" fillId="0" borderId="9" xfId="1" quotePrefix="1" applyNumberFormat="1" applyFont="1" applyFill="1" applyBorder="1" applyAlignment="1" applyProtection="1"/>
    <xf numFmtId="6" fontId="3" fillId="0" borderId="35" xfId="0" applyNumberFormat="1" applyFont="1" applyBorder="1" applyAlignment="1">
      <alignment horizontal="left"/>
    </xf>
    <xf numFmtId="0" fontId="3" fillId="0" borderId="7" xfId="0" applyFont="1" applyBorder="1" applyAlignment="1">
      <alignment horizontal="left" vertical="top" wrapText="1"/>
    </xf>
    <xf numFmtId="10" fontId="1" fillId="0" borderId="0" xfId="1" applyNumberFormat="1" applyFont="1" applyFill="1" applyBorder="1" applyAlignment="1" applyProtection="1"/>
    <xf numFmtId="6" fontId="3" fillId="0" borderId="34" xfId="0" applyNumberFormat="1" applyFont="1" applyBorder="1" applyAlignment="1">
      <alignment horizontal="justify" vertical="top" wrapText="1"/>
    </xf>
    <xf numFmtId="10" fontId="1" fillId="0" borderId="0" xfId="1" quotePrefix="1" applyNumberFormat="1" applyFont="1" applyFill="1" applyBorder="1" applyAlignment="1" applyProtection="1"/>
    <xf numFmtId="0" fontId="3" fillId="0" borderId="8" xfId="0" applyFont="1" applyBorder="1" applyAlignment="1">
      <alignment horizontal="left" vertical="top" wrapText="1"/>
    </xf>
    <xf numFmtId="44" fontId="1" fillId="0" borderId="9" xfId="1" applyFont="1" applyFill="1" applyBorder="1" applyProtection="1"/>
    <xf numFmtId="10" fontId="1" fillId="0" borderId="9" xfId="1" quotePrefix="1" applyNumberFormat="1" applyFont="1" applyFill="1" applyBorder="1" applyAlignment="1" applyProtection="1"/>
    <xf numFmtId="6" fontId="3" fillId="0" borderId="35" xfId="0" applyNumberFormat="1" applyFont="1" applyBorder="1" applyAlignment="1">
      <alignment horizontal="justify" vertical="top" wrapText="1"/>
    </xf>
    <xf numFmtId="0" fontId="1" fillId="0" borderId="0" xfId="0" applyFont="1" applyAlignment="1">
      <alignment horizontal="left" vertical="top" wrapText="1"/>
    </xf>
    <xf numFmtId="0" fontId="8" fillId="0" borderId="0" xfId="0" applyFont="1" applyAlignment="1">
      <alignment horizontal="center"/>
    </xf>
    <xf numFmtId="0" fontId="2" fillId="0" borderId="0" xfId="0" applyFont="1" applyAlignment="1">
      <alignment horizontal="center"/>
    </xf>
    <xf numFmtId="0" fontId="9" fillId="0" borderId="0" xfId="0" applyFont="1" applyAlignment="1">
      <alignment horizontal="center"/>
    </xf>
    <xf numFmtId="0" fontId="4" fillId="0" borderId="50" xfId="0" applyFont="1" applyBorder="1" applyAlignment="1">
      <alignment vertical="top"/>
    </xf>
    <xf numFmtId="10" fontId="0" fillId="0" borderId="0" xfId="1" applyNumberFormat="1" applyFont="1" applyFill="1" applyBorder="1" applyProtection="1"/>
    <xf numFmtId="10" fontId="1" fillId="0" borderId="0" xfId="1" quotePrefix="1" applyNumberFormat="1" applyFont="1" applyFill="1" applyBorder="1" applyAlignment="1" applyProtection="1">
      <alignment horizontal="right"/>
    </xf>
    <xf numFmtId="10" fontId="1" fillId="0" borderId="9" xfId="1" quotePrefix="1" applyNumberFormat="1" applyFont="1" applyFill="1" applyBorder="1" applyAlignment="1" applyProtection="1">
      <alignment horizontal="right"/>
    </xf>
    <xf numFmtId="0" fontId="2" fillId="0" borderId="1" xfId="0" applyFont="1" applyBorder="1" applyAlignment="1">
      <alignment horizontal="center"/>
    </xf>
    <xf numFmtId="3" fontId="2" fillId="0" borderId="1" xfId="0" applyNumberFormat="1" applyFont="1" applyBorder="1" applyAlignment="1">
      <alignment horizontal="center"/>
    </xf>
    <xf numFmtId="44" fontId="2" fillId="0" borderId="4" xfId="1" applyFont="1" applyBorder="1" applyAlignment="1" applyProtection="1">
      <alignment horizontal="center"/>
    </xf>
    <xf numFmtId="0" fontId="4" fillId="0" borderId="14" xfId="0" applyFont="1" applyBorder="1"/>
    <xf numFmtId="44" fontId="1" fillId="0" borderId="21" xfId="1" applyFont="1" applyBorder="1" applyProtection="1"/>
    <xf numFmtId="0" fontId="3" fillId="0" borderId="7" xfId="0" applyFont="1" applyBorder="1"/>
    <xf numFmtId="3" fontId="3" fillId="0" borderId="0" xfId="1" applyNumberFormat="1" applyFont="1" applyBorder="1" applyProtection="1"/>
    <xf numFmtId="44" fontId="1" fillId="0" borderId="0" xfId="1" applyFont="1" applyBorder="1" applyProtection="1"/>
    <xf numFmtId="44" fontId="3" fillId="0" borderId="34" xfId="0" applyNumberFormat="1" applyFont="1" applyBorder="1"/>
    <xf numFmtId="44" fontId="1" fillId="0" borderId="27" xfId="1" applyFont="1" applyBorder="1" applyProtection="1"/>
    <xf numFmtId="0" fontId="3" fillId="0" borderId="58" xfId="0" applyFont="1" applyBorder="1"/>
    <xf numFmtId="3" fontId="3" fillId="0" borderId="27" xfId="1" applyNumberFormat="1" applyFont="1" applyBorder="1" applyProtection="1"/>
    <xf numFmtId="44" fontId="3" fillId="0" borderId="59" xfId="0" applyNumberFormat="1" applyFont="1" applyBorder="1"/>
    <xf numFmtId="3" fontId="3" fillId="0" borderId="19" xfId="1" applyNumberFormat="1" applyFont="1" applyBorder="1" applyProtection="1"/>
    <xf numFmtId="44" fontId="1" fillId="0" borderId="19" xfId="1" applyFont="1" applyBorder="1" applyProtection="1"/>
    <xf numFmtId="0" fontId="1" fillId="0" borderId="19" xfId="4" applyBorder="1"/>
    <xf numFmtId="44" fontId="3" fillId="0" borderId="56" xfId="0" applyNumberFormat="1" applyFont="1" applyBorder="1"/>
    <xf numFmtId="44" fontId="1" fillId="0" borderId="18" xfId="1" applyFont="1" applyBorder="1" applyProtection="1"/>
    <xf numFmtId="44" fontId="3" fillId="0" borderId="16" xfId="1" applyFont="1" applyBorder="1" applyProtection="1"/>
    <xf numFmtId="0" fontId="0" fillId="0" borderId="7" xfId="0" applyBorder="1"/>
    <xf numFmtId="44" fontId="1" fillId="0" borderId="0" xfId="1" applyBorder="1" applyProtection="1"/>
    <xf numFmtId="0" fontId="0" fillId="0" borderId="34" xfId="0" applyBorder="1"/>
    <xf numFmtId="3" fontId="3" fillId="0" borderId="11" xfId="1" applyNumberFormat="1" applyFont="1" applyBorder="1" applyProtection="1"/>
    <xf numFmtId="44" fontId="3" fillId="0" borderId="18" xfId="1" applyFont="1" applyBorder="1" applyProtection="1"/>
    <xf numFmtId="44" fontId="3" fillId="0" borderId="13" xfId="0" applyNumberFormat="1" applyFont="1" applyBorder="1"/>
    <xf numFmtId="0" fontId="1" fillId="0" borderId="21" xfId="4" applyBorder="1"/>
    <xf numFmtId="3" fontId="3" fillId="2" borderId="2" xfId="1" applyNumberFormat="1" applyFont="1" applyFill="1" applyBorder="1" applyProtection="1"/>
    <xf numFmtId="3" fontId="3" fillId="2" borderId="32" xfId="1" applyNumberFormat="1" applyFont="1" applyFill="1" applyBorder="1" applyProtection="1"/>
    <xf numFmtId="44" fontId="3" fillId="0" borderId="26" xfId="1" applyFont="1" applyBorder="1" applyProtection="1"/>
    <xf numFmtId="3" fontId="3" fillId="0" borderId="0" xfId="1" applyNumberFormat="1" applyFont="1" applyFill="1" applyBorder="1" applyProtection="1"/>
    <xf numFmtId="0" fontId="3" fillId="0" borderId="22" xfId="0" applyFont="1" applyBorder="1"/>
    <xf numFmtId="44" fontId="1" fillId="0" borderId="36" xfId="1" applyFont="1" applyBorder="1" applyProtection="1"/>
    <xf numFmtId="44" fontId="1" fillId="0" borderId="23" xfId="1" applyFont="1" applyBorder="1" applyProtection="1"/>
    <xf numFmtId="0" fontId="0" fillId="0" borderId="41" xfId="0" applyBorder="1"/>
    <xf numFmtId="0" fontId="4" fillId="0" borderId="46" xfId="0" applyFont="1" applyBorder="1"/>
    <xf numFmtId="0" fontId="4" fillId="0" borderId="33" xfId="0" applyFont="1" applyBorder="1" applyAlignment="1">
      <alignment horizontal="right"/>
    </xf>
    <xf numFmtId="0" fontId="4" fillId="0" borderId="35" xfId="0" applyFont="1" applyBorder="1" applyAlignment="1">
      <alignment horizontal="right"/>
    </xf>
    <xf numFmtId="0" fontId="3" fillId="0" borderId="2" xfId="0" applyFont="1" applyBorder="1"/>
    <xf numFmtId="164" fontId="3" fillId="0" borderId="2" xfId="0" applyNumberFormat="1" applyFont="1" applyBorder="1"/>
    <xf numFmtId="164" fontId="3" fillId="0" borderId="15" xfId="0" applyNumberFormat="1" applyFont="1" applyBorder="1"/>
    <xf numFmtId="0" fontId="3" fillId="0" borderId="55" xfId="0" applyFont="1" applyBorder="1"/>
    <xf numFmtId="6" fontId="3" fillId="0" borderId="0" xfId="1" applyNumberFormat="1" applyFont="1" applyBorder="1" applyProtection="1"/>
    <xf numFmtId="44" fontId="0" fillId="0" borderId="34" xfId="0" applyNumberFormat="1" applyBorder="1"/>
    <xf numFmtId="44" fontId="3" fillId="0" borderId="15" xfId="0" applyNumberFormat="1" applyFont="1" applyBorder="1"/>
    <xf numFmtId="0" fontId="4" fillId="0" borderId="9" xfId="0" applyFont="1" applyBorder="1" applyAlignment="1">
      <alignment horizontal="right"/>
    </xf>
    <xf numFmtId="44" fontId="4" fillId="0" borderId="3" xfId="1" applyFont="1" applyBorder="1" applyProtection="1"/>
    <xf numFmtId="44" fontId="4" fillId="0" borderId="33" xfId="1" applyFont="1" applyBorder="1" applyProtection="1"/>
    <xf numFmtId="0" fontId="3" fillId="0" borderId="1" xfId="0" applyFont="1" applyBorder="1" applyAlignment="1">
      <alignment horizontal="right"/>
    </xf>
    <xf numFmtId="9" fontId="3" fillId="0" borderId="0" xfId="2" applyFont="1" applyBorder="1" applyProtection="1"/>
    <xf numFmtId="0" fontId="3" fillId="0" borderId="7" xfId="0" applyFont="1" applyBorder="1" applyAlignment="1">
      <alignment horizontal="right"/>
    </xf>
    <xf numFmtId="3" fontId="0" fillId="0" borderId="0" xfId="0" applyNumberFormat="1" applyAlignment="1">
      <alignment horizontal="center"/>
    </xf>
    <xf numFmtId="44" fontId="3" fillId="0" borderId="7" xfId="0" applyNumberFormat="1" applyFont="1" applyBorder="1"/>
    <xf numFmtId="0" fontId="3" fillId="0" borderId="8" xfId="0" applyFont="1" applyBorder="1"/>
    <xf numFmtId="3" fontId="3" fillId="0" borderId="9" xfId="0" applyNumberFormat="1" applyFont="1" applyBorder="1"/>
    <xf numFmtId="44" fontId="3" fillId="0" borderId="9" xfId="1" applyFont="1" applyBorder="1" applyProtection="1"/>
    <xf numFmtId="44" fontId="3" fillId="0" borderId="9" xfId="1" applyFont="1" applyBorder="1" applyAlignment="1" applyProtection="1">
      <alignment horizontal="right"/>
    </xf>
    <xf numFmtId="0" fontId="3" fillId="0" borderId="9" xfId="0" applyFont="1" applyBorder="1"/>
    <xf numFmtId="44" fontId="3" fillId="0" borderId="35" xfId="0" applyNumberFormat="1" applyFont="1" applyBorder="1" applyAlignment="1">
      <alignment horizontal="right"/>
    </xf>
    <xf numFmtId="44" fontId="1" fillId="0" borderId="2" xfId="4" applyNumberFormat="1" applyBorder="1"/>
    <xf numFmtId="0" fontId="3" fillId="0" borderId="9" xfId="0" applyFont="1" applyBorder="1" applyAlignment="1">
      <alignment horizontal="right"/>
    </xf>
    <xf numFmtId="0" fontId="0" fillId="0" borderId="9" xfId="0" applyBorder="1"/>
    <xf numFmtId="0" fontId="4" fillId="0" borderId="7" xfId="0" applyFont="1" applyBorder="1" applyAlignment="1">
      <alignment horizontal="center"/>
    </xf>
    <xf numFmtId="0" fontId="4" fillId="0" borderId="0" xfId="0" applyFont="1" applyAlignment="1">
      <alignment horizontal="center"/>
    </xf>
    <xf numFmtId="3" fontId="0" fillId="4" borderId="19" xfId="0" applyNumberFormat="1" applyFill="1" applyBorder="1" applyAlignment="1">
      <alignment horizontal="center"/>
    </xf>
    <xf numFmtId="0" fontId="3" fillId="0" borderId="7" xfId="0" applyFont="1" applyBorder="1" applyAlignment="1">
      <alignment horizontal="right" wrapText="1"/>
    </xf>
    <xf numFmtId="0" fontId="0" fillId="0" borderId="29" xfId="0" applyBorder="1"/>
    <xf numFmtId="44" fontId="1" fillId="0" borderId="9" xfId="1" applyBorder="1" applyProtection="1"/>
    <xf numFmtId="0" fontId="3" fillId="0" borderId="41" xfId="0" applyFont="1" applyBorder="1"/>
    <xf numFmtId="44" fontId="1" fillId="0" borderId="0" xfId="1" applyFill="1" applyBorder="1" applyProtection="1"/>
    <xf numFmtId="0" fontId="0" fillId="0" borderId="3" xfId="0" applyBorder="1" applyAlignment="1">
      <alignment horizontal="left"/>
    </xf>
    <xf numFmtId="3" fontId="0" fillId="0" borderId="33" xfId="0" applyNumberFormat="1" applyBorder="1" applyAlignment="1">
      <alignment horizontal="center"/>
    </xf>
    <xf numFmtId="44" fontId="0" fillId="0" borderId="33" xfId="1" applyFont="1" applyFill="1" applyBorder="1" applyProtection="1"/>
    <xf numFmtId="0" fontId="0" fillId="0" borderId="4" xfId="0" applyBorder="1"/>
    <xf numFmtId="0" fontId="10" fillId="0" borderId="7" xfId="0" applyFont="1" applyBorder="1" applyAlignment="1">
      <alignment horizontal="center" vertical="top" wrapText="1"/>
    </xf>
    <xf numFmtId="0" fontId="10" fillId="0" borderId="0" xfId="0" applyFont="1" applyAlignment="1">
      <alignment horizontal="center" vertical="top"/>
    </xf>
    <xf numFmtId="44" fontId="0" fillId="0" borderId="0" xfId="1" applyFont="1" applyFill="1" applyBorder="1" applyProtection="1"/>
    <xf numFmtId="0" fontId="11" fillId="0" borderId="7" xfId="0" applyFont="1" applyBorder="1" applyAlignment="1">
      <alignment horizontal="left" vertical="top" wrapText="1" indent="8"/>
    </xf>
    <xf numFmtId="6" fontId="11" fillId="0" borderId="0" xfId="0" applyNumberFormat="1" applyFont="1" applyAlignment="1">
      <alignment horizontal="left"/>
    </xf>
    <xf numFmtId="6" fontId="11" fillId="0" borderId="34" xfId="0" applyNumberFormat="1" applyFont="1" applyBorder="1" applyAlignment="1">
      <alignment horizontal="left"/>
    </xf>
    <xf numFmtId="0" fontId="11" fillId="0" borderId="8" xfId="0" applyFont="1" applyBorder="1" applyAlignment="1">
      <alignment horizontal="left" vertical="top" wrapText="1" indent="8"/>
    </xf>
    <xf numFmtId="6" fontId="11" fillId="0" borderId="9" xfId="0" applyNumberFormat="1" applyFont="1" applyBorder="1" applyAlignment="1">
      <alignment horizontal="justify" vertical="top" wrapText="1"/>
    </xf>
    <xf numFmtId="6" fontId="11" fillId="0" borderId="35" xfId="0" applyNumberFormat="1" applyFont="1" applyBorder="1" applyAlignment="1">
      <alignment horizontal="justify" vertical="top" wrapText="1"/>
    </xf>
    <xf numFmtId="6" fontId="11" fillId="0" borderId="0" xfId="0" applyNumberFormat="1" applyFont="1" applyAlignment="1">
      <alignment horizontal="justify" vertical="top" wrapText="1"/>
    </xf>
    <xf numFmtId="6" fontId="11" fillId="0" borderId="34" xfId="0" applyNumberFormat="1" applyFont="1" applyBorder="1" applyAlignment="1">
      <alignment horizontal="justify" vertical="top" wrapText="1"/>
    </xf>
    <xf numFmtId="0" fontId="3" fillId="0" borderId="35" xfId="0" applyFont="1" applyBorder="1"/>
    <xf numFmtId="0" fontId="3" fillId="0" borderId="0" xfId="0" applyFont="1" applyAlignment="1">
      <alignment vertical="top" wrapText="1"/>
    </xf>
    <xf numFmtId="0" fontId="3" fillId="0" borderId="14" xfId="0" applyFont="1" applyBorder="1" applyAlignment="1">
      <alignment horizontal="left" vertical="center"/>
    </xf>
    <xf numFmtId="44" fontId="1" fillId="0" borderId="2" xfId="1" applyFont="1" applyFill="1" applyBorder="1" applyProtection="1"/>
    <xf numFmtId="44" fontId="1" fillId="0" borderId="0" xfId="4" applyNumberFormat="1"/>
    <xf numFmtId="44" fontId="1" fillId="0" borderId="40" xfId="1" applyFont="1" applyFill="1" applyBorder="1" applyProtection="1"/>
    <xf numFmtId="44" fontId="1" fillId="0" borderId="40" xfId="4" applyNumberFormat="1" applyBorder="1"/>
    <xf numFmtId="8" fontId="11" fillId="0" borderId="0" xfId="0" applyNumberFormat="1" applyFont="1"/>
    <xf numFmtId="10" fontId="11" fillId="0" borderId="0" xfId="2" applyNumberFormat="1" applyFont="1" applyFill="1" applyBorder="1" applyProtection="1"/>
    <xf numFmtId="10" fontId="11" fillId="0" borderId="0" xfId="2" applyNumberFormat="1" applyFont="1" applyFill="1" applyBorder="1" applyAlignment="1" applyProtection="1"/>
    <xf numFmtId="168" fontId="11" fillId="0" borderId="0" xfId="0" applyNumberFormat="1" applyFont="1"/>
    <xf numFmtId="0" fontId="3" fillId="0" borderId="67" xfId="0" applyFont="1" applyBorder="1"/>
    <xf numFmtId="0" fontId="3" fillId="0" borderId="68" xfId="0" applyFont="1" applyBorder="1"/>
    <xf numFmtId="0" fontId="19" fillId="0" borderId="67" xfId="0" applyFont="1" applyBorder="1"/>
    <xf numFmtId="0" fontId="19" fillId="0" borderId="0" xfId="0" applyFont="1"/>
    <xf numFmtId="0" fontId="11" fillId="0" borderId="0" xfId="0" applyFont="1"/>
    <xf numFmtId="0" fontId="11" fillId="0" borderId="68" xfId="0" applyFont="1" applyBorder="1"/>
    <xf numFmtId="0" fontId="11" fillId="0" borderId="67" xfId="0" applyFont="1" applyBorder="1"/>
    <xf numFmtId="0" fontId="12" fillId="0" borderId="0" xfId="0" applyFont="1"/>
    <xf numFmtId="0" fontId="11" fillId="0" borderId="68" xfId="0" applyFont="1" applyBorder="1" applyAlignment="1">
      <alignment horizontal="center"/>
    </xf>
    <xf numFmtId="43" fontId="12" fillId="0" borderId="0" xfId="3" applyFont="1" applyBorder="1" applyProtection="1"/>
    <xf numFmtId="0" fontId="3" fillId="0" borderId="70" xfId="0" applyFont="1" applyBorder="1"/>
    <xf numFmtId="0" fontId="3" fillId="0" borderId="69" xfId="0" applyFont="1" applyBorder="1"/>
    <xf numFmtId="0" fontId="3" fillId="0" borderId="71" xfId="0" applyFont="1" applyBorder="1"/>
    <xf numFmtId="0" fontId="4" fillId="7" borderId="64" xfId="0" applyFont="1" applyFill="1" applyBorder="1" applyAlignment="1">
      <alignment horizontal="centerContinuous" vertical="center"/>
    </xf>
    <xf numFmtId="0" fontId="4" fillId="7" borderId="65" xfId="0" applyFont="1" applyFill="1" applyBorder="1" applyAlignment="1">
      <alignment horizontal="centerContinuous" vertical="center"/>
    </xf>
    <xf numFmtId="0" fontId="3" fillId="7" borderId="66" xfId="0" applyFont="1" applyFill="1" applyBorder="1" applyAlignment="1">
      <alignment horizontal="centerContinuous" vertical="center"/>
    </xf>
    <xf numFmtId="0" fontId="3" fillId="7" borderId="64" xfId="0" applyFont="1" applyFill="1" applyBorder="1" applyAlignment="1">
      <alignment horizontal="centerContinuous" vertical="center"/>
    </xf>
    <xf numFmtId="0" fontId="3" fillId="7" borderId="65" xfId="0" applyFont="1" applyFill="1" applyBorder="1" applyAlignment="1">
      <alignment horizontal="centerContinuous" vertical="center"/>
    </xf>
    <xf numFmtId="0" fontId="3" fillId="0" borderId="67" xfId="0" applyFont="1" applyBorder="1" applyAlignment="1">
      <alignment horizontal="center"/>
    </xf>
    <xf numFmtId="0" fontId="11" fillId="0" borderId="67" xfId="0" applyFont="1" applyBorder="1" applyAlignment="1">
      <alignment horizontal="left"/>
    </xf>
    <xf numFmtId="0" fontId="11" fillId="0" borderId="0" xfId="0" applyFont="1" applyAlignment="1">
      <alignment horizontal="center"/>
    </xf>
    <xf numFmtId="5" fontId="11" fillId="0" borderId="0" xfId="0" applyNumberFormat="1" applyFont="1"/>
    <xf numFmtId="167" fontId="11" fillId="0" borderId="0" xfId="3" applyNumberFormat="1" applyFont="1" applyBorder="1" applyAlignment="1" applyProtection="1">
      <alignment horizontal="left"/>
    </xf>
    <xf numFmtId="0" fontId="3" fillId="0" borderId="68" xfId="0" applyFont="1" applyBorder="1" applyAlignment="1">
      <alignment horizontal="center"/>
    </xf>
    <xf numFmtId="0" fontId="11" fillId="0" borderId="0" xfId="0" applyFont="1" applyAlignment="1">
      <alignment horizontal="left"/>
    </xf>
    <xf numFmtId="44" fontId="11" fillId="0" borderId="0" xfId="1" applyFont="1" applyBorder="1" applyAlignment="1" applyProtection="1">
      <alignment horizontal="right"/>
    </xf>
    <xf numFmtId="167" fontId="11" fillId="0" borderId="0" xfId="3" applyNumberFormat="1" applyFont="1" applyFill="1" applyBorder="1" applyAlignment="1" applyProtection="1">
      <alignment horizontal="left"/>
    </xf>
    <xf numFmtId="0" fontId="11" fillId="0" borderId="0" xfId="0" quotePrefix="1" applyFont="1"/>
    <xf numFmtId="5" fontId="12" fillId="0" borderId="0" xfId="1" applyNumberFormat="1" applyFont="1" applyFill="1" applyBorder="1" applyAlignment="1" applyProtection="1">
      <alignment horizontal="right"/>
    </xf>
    <xf numFmtId="0" fontId="12" fillId="0" borderId="68" xfId="0" applyFont="1" applyBorder="1" applyAlignment="1">
      <alignment horizontal="left"/>
    </xf>
    <xf numFmtId="0" fontId="12" fillId="0" borderId="0" xfId="0" applyFont="1" applyAlignment="1">
      <alignment horizontal="left"/>
    </xf>
    <xf numFmtId="0" fontId="3" fillId="0" borderId="68" xfId="0" applyFont="1" applyBorder="1" applyAlignment="1">
      <alignment horizontal="right"/>
    </xf>
    <xf numFmtId="0" fontId="3" fillId="0" borderId="72" xfId="0" applyFont="1" applyBorder="1"/>
    <xf numFmtId="0" fontId="3" fillId="0" borderId="73" xfId="0" applyFont="1" applyBorder="1"/>
    <xf numFmtId="0" fontId="3" fillId="0" borderId="74" xfId="0" applyFont="1" applyBorder="1"/>
    <xf numFmtId="0" fontId="10" fillId="0" borderId="67" xfId="0" quotePrefix="1" applyFont="1" applyBorder="1"/>
    <xf numFmtId="0" fontId="10" fillId="0" borderId="0" xfId="0" quotePrefix="1" applyFont="1"/>
    <xf numFmtId="0" fontId="10" fillId="0" borderId="0" xfId="0" applyFont="1" applyAlignment="1">
      <alignment horizontal="right"/>
    </xf>
    <xf numFmtId="0" fontId="10" fillId="0" borderId="0" xfId="0" applyFont="1"/>
    <xf numFmtId="169" fontId="11" fillId="0" borderId="0" xfId="1" applyNumberFormat="1" applyFont="1" applyBorder="1" applyProtection="1"/>
    <xf numFmtId="0" fontId="11" fillId="0" borderId="0" xfId="0" quotePrefix="1" applyFont="1" applyAlignment="1">
      <alignment horizontal="right"/>
    </xf>
    <xf numFmtId="0" fontId="11" fillId="0" borderId="73" xfId="0" quotePrefix="1" applyFont="1" applyBorder="1"/>
    <xf numFmtId="0" fontId="4" fillId="0" borderId="15" xfId="0" applyFont="1" applyBorder="1"/>
    <xf numFmtId="0" fontId="11" fillId="0" borderId="0" xfId="0" applyFont="1" applyAlignment="1">
      <alignment horizontal="right" vertical="center"/>
    </xf>
    <xf numFmtId="44" fontId="11" fillId="0" borderId="0" xfId="0" applyNumberFormat="1" applyFont="1"/>
    <xf numFmtId="0" fontId="11" fillId="0" borderId="75" xfId="0" applyFont="1" applyBorder="1"/>
    <xf numFmtId="0" fontId="11" fillId="0" borderId="19" xfId="0" applyFont="1" applyBorder="1"/>
    <xf numFmtId="0" fontId="3" fillId="0" borderId="76" xfId="0" applyFont="1" applyBorder="1"/>
    <xf numFmtId="0" fontId="11" fillId="0" borderId="27" xfId="0" applyFont="1" applyBorder="1"/>
    <xf numFmtId="9" fontId="11" fillId="0" borderId="0" xfId="2" applyFont="1" applyFill="1" applyBorder="1" applyProtection="1"/>
    <xf numFmtId="3" fontId="11" fillId="0" borderId="0" xfId="0" applyNumberFormat="1" applyFont="1"/>
    <xf numFmtId="0" fontId="11" fillId="0" borderId="70" xfId="0" applyFont="1" applyBorder="1"/>
    <xf numFmtId="0" fontId="11" fillId="0" borderId="69" xfId="0" applyFont="1" applyBorder="1"/>
    <xf numFmtId="0" fontId="3" fillId="0" borderId="0" xfId="0" applyFont="1" applyAlignment="1">
      <alignment horizontal="left" wrapText="1"/>
    </xf>
    <xf numFmtId="8" fontId="3" fillId="0" borderId="0" xfId="0" applyNumberFormat="1" applyFont="1" applyAlignment="1">
      <alignment horizontal="left"/>
    </xf>
    <xf numFmtId="0" fontId="3" fillId="0" borderId="7" xfId="0" applyFont="1" applyBorder="1" applyAlignment="1">
      <alignment horizontal="left"/>
    </xf>
    <xf numFmtId="6" fontId="3" fillId="0" borderId="0" xfId="0" quotePrefix="1" applyNumberFormat="1" applyFont="1" applyAlignment="1">
      <alignment vertical="top" wrapText="1"/>
    </xf>
    <xf numFmtId="6" fontId="3" fillId="0" borderId="9" xfId="0" quotePrefix="1" applyNumberFormat="1" applyFont="1" applyBorder="1" applyAlignment="1">
      <alignment vertical="top" wrapText="1"/>
    </xf>
    <xf numFmtId="0" fontId="17" fillId="0" borderId="14" xfId="0" applyFont="1" applyBorder="1"/>
    <xf numFmtId="0" fontId="3" fillId="0" borderId="14" xfId="0" applyFont="1" applyBorder="1" applyAlignment="1">
      <alignment horizontal="left"/>
    </xf>
    <xf numFmtId="8" fontId="1" fillId="0" borderId="15" xfId="1" applyNumberFormat="1" applyFont="1" applyBorder="1" applyProtection="1"/>
    <xf numFmtId="6" fontId="3" fillId="0" borderId="0" xfId="0" applyNumberFormat="1" applyFont="1" applyAlignment="1">
      <alignment horizontal="center" vertical="top" wrapText="1"/>
    </xf>
    <xf numFmtId="0" fontId="3" fillId="0" borderId="7" xfId="0" applyFont="1" applyBorder="1" applyAlignment="1">
      <alignment horizontal="center" vertical="top" wrapText="1"/>
    </xf>
    <xf numFmtId="0" fontId="3" fillId="0" borderId="34" xfId="0" applyFont="1" applyBorder="1" applyAlignment="1">
      <alignment horizontal="left"/>
    </xf>
    <xf numFmtId="6" fontId="3" fillId="0" borderId="0" xfId="0" applyNumberFormat="1" applyFont="1" applyAlignment="1">
      <alignment horizontal="justify" vertical="top" wrapText="1"/>
    </xf>
    <xf numFmtId="0" fontId="3" fillId="0" borderId="8" xfId="0" applyFont="1" applyBorder="1" applyAlignment="1">
      <alignment horizontal="center" vertical="top" wrapText="1"/>
    </xf>
    <xf numFmtId="6" fontId="3" fillId="0" borderId="9" xfId="0" applyNumberFormat="1" applyFont="1" applyBorder="1" applyAlignment="1">
      <alignment horizontal="center" vertical="top" wrapText="1"/>
    </xf>
    <xf numFmtId="6" fontId="3" fillId="0" borderId="9" xfId="0" applyNumberFormat="1" applyFont="1" applyBorder="1" applyAlignment="1">
      <alignment horizontal="justify" vertical="top" wrapText="1"/>
    </xf>
    <xf numFmtId="44" fontId="0" fillId="0" borderId="0" xfId="1" applyFont="1" applyBorder="1" applyProtection="1"/>
    <xf numFmtId="44" fontId="0" fillId="0" borderId="0" xfId="1" applyFont="1" applyProtection="1"/>
    <xf numFmtId="164" fontId="3" fillId="0" borderId="29" xfId="0" applyNumberFormat="1" applyFont="1" applyBorder="1"/>
    <xf numFmtId="164" fontId="3" fillId="0" borderId="24" xfId="0" applyNumberFormat="1" applyFont="1" applyBorder="1"/>
    <xf numFmtId="3" fontId="3" fillId="0" borderId="27" xfId="0" applyNumberFormat="1" applyFont="1" applyBorder="1"/>
    <xf numFmtId="0" fontId="4" fillId="0" borderId="6" xfId="0" applyFont="1" applyBorder="1" applyAlignment="1">
      <alignment horizontal="center" vertical="top" wrapText="1"/>
    </xf>
    <xf numFmtId="0" fontId="2" fillId="0" borderId="44" xfId="0" applyFont="1" applyBorder="1" applyAlignment="1">
      <alignment horizontal="center"/>
    </xf>
    <xf numFmtId="3" fontId="2" fillId="0" borderId="45" xfId="0" applyNumberFormat="1" applyFont="1" applyBorder="1" applyAlignment="1">
      <alignment horizontal="center"/>
    </xf>
    <xf numFmtId="0" fontId="2" fillId="0" borderId="47" xfId="0" applyFont="1" applyBorder="1" applyAlignment="1">
      <alignment horizontal="center"/>
    </xf>
    <xf numFmtId="0" fontId="3" fillId="0" borderId="48" xfId="0" applyFont="1" applyBorder="1"/>
    <xf numFmtId="44" fontId="0" fillId="0" borderId="33" xfId="0" applyNumberFormat="1" applyBorder="1"/>
    <xf numFmtId="0" fontId="3" fillId="0" borderId="33" xfId="0" applyFont="1" applyBorder="1"/>
    <xf numFmtId="0" fontId="0" fillId="0" borderId="43" xfId="0" applyBorder="1"/>
    <xf numFmtId="0" fontId="0" fillId="0" borderId="19" xfId="0" applyBorder="1"/>
    <xf numFmtId="0" fontId="3" fillId="0" borderId="20" xfId="0" applyFont="1" applyBorder="1" applyAlignment="1">
      <alignment horizontal="right"/>
    </xf>
    <xf numFmtId="0" fontId="15" fillId="0" borderId="0" xfId="0" applyFont="1" applyAlignment="1">
      <alignment horizontal="left"/>
    </xf>
    <xf numFmtId="0" fontId="13" fillId="0" borderId="0" xfId="0" applyFont="1" applyAlignment="1">
      <alignment horizontal="left"/>
    </xf>
    <xf numFmtId="0" fontId="13" fillId="0" borderId="0" xfId="0" applyFont="1"/>
    <xf numFmtId="14" fontId="14" fillId="0" borderId="0" xfId="0" applyNumberFormat="1" applyFont="1"/>
    <xf numFmtId="5" fontId="3" fillId="0" borderId="0" xfId="1" quotePrefix="1" applyNumberFormat="1" applyFont="1" applyFill="1" applyBorder="1" applyProtection="1"/>
    <xf numFmtId="8" fontId="3" fillId="0" borderId="0" xfId="0" applyNumberFormat="1" applyFont="1" applyAlignment="1">
      <alignment horizontal="center" vertical="top" wrapText="1"/>
    </xf>
    <xf numFmtId="8" fontId="3" fillId="0" borderId="0" xfId="1" applyNumberFormat="1" applyFont="1" applyFill="1" applyBorder="1" applyAlignment="1" applyProtection="1">
      <alignment horizontal="right"/>
    </xf>
    <xf numFmtId="10" fontId="3" fillId="0" borderId="0" xfId="1" quotePrefix="1" applyNumberFormat="1" applyFont="1" applyFill="1" applyBorder="1" applyProtection="1"/>
    <xf numFmtId="0" fontId="1" fillId="0" borderId="21" xfId="0" applyFont="1" applyBorder="1"/>
    <xf numFmtId="0" fontId="3" fillId="0" borderId="21" xfId="1" quotePrefix="1" applyNumberFormat="1" applyFont="1" applyBorder="1" applyAlignment="1" applyProtection="1">
      <alignment horizontal="center"/>
    </xf>
    <xf numFmtId="44" fontId="1" fillId="0" borderId="6" xfId="1" applyFont="1" applyBorder="1" applyProtection="1"/>
    <xf numFmtId="0" fontId="3" fillId="0" borderId="30" xfId="0" applyFont="1" applyBorder="1"/>
    <xf numFmtId="44" fontId="3" fillId="0" borderId="31" xfId="0" applyNumberFormat="1" applyFont="1" applyBorder="1"/>
    <xf numFmtId="0" fontId="6" fillId="0" borderId="0" xfId="0" applyFont="1" applyAlignment="1">
      <alignment horizontal="right"/>
    </xf>
    <xf numFmtId="0" fontId="0" fillId="0" borderId="6" xfId="0" applyBorder="1"/>
    <xf numFmtId="44" fontId="0" fillId="0" borderId="6" xfId="0" applyNumberFormat="1" applyBorder="1" applyAlignment="1">
      <alignment horizontal="right"/>
    </xf>
    <xf numFmtId="0" fontId="3" fillId="0" borderId="52" xfId="0" applyFont="1" applyBorder="1"/>
    <xf numFmtId="44" fontId="1" fillId="0" borderId="0" xfId="1" quotePrefix="1" applyFont="1" applyFill="1" applyAlignment="1" applyProtection="1">
      <alignment horizontal="right"/>
    </xf>
    <xf numFmtId="165" fontId="3" fillId="0" borderId="0" xfId="1" applyNumberFormat="1" applyFont="1" applyFill="1" applyBorder="1" applyProtection="1"/>
    <xf numFmtId="3" fontId="3" fillId="0" borderId="34" xfId="0" applyNumberFormat="1" applyFont="1" applyBorder="1"/>
    <xf numFmtId="166" fontId="3" fillId="0" borderId="9" xfId="0" applyNumberFormat="1" applyFont="1" applyBorder="1" applyAlignment="1">
      <alignment horizontal="center" vertical="top" wrapText="1"/>
    </xf>
    <xf numFmtId="44" fontId="3" fillId="0" borderId="9" xfId="1" quotePrefix="1" applyFont="1" applyFill="1" applyBorder="1" applyProtection="1"/>
    <xf numFmtId="165" fontId="3" fillId="0" borderId="9" xfId="1" applyNumberFormat="1" applyFont="1" applyFill="1" applyBorder="1" applyProtection="1"/>
    <xf numFmtId="0" fontId="3" fillId="0" borderId="3" xfId="0" applyFont="1" applyBorder="1" applyAlignment="1">
      <alignment vertical="top" wrapText="1"/>
    </xf>
    <xf numFmtId="44" fontId="3" fillId="0" borderId="33" xfId="1" quotePrefix="1" applyFont="1" applyFill="1" applyBorder="1" applyProtection="1"/>
    <xf numFmtId="166" fontId="3" fillId="0" borderId="0" xfId="0" applyNumberFormat="1" applyFont="1" applyAlignment="1">
      <alignment horizontal="center" vertical="top" wrapText="1"/>
    </xf>
    <xf numFmtId="44" fontId="3" fillId="0" borderId="0" xfId="1" quotePrefix="1" applyFont="1" applyFill="1" applyBorder="1" applyProtection="1"/>
    <xf numFmtId="44" fontId="3" fillId="0" borderId="0" xfId="1" applyFont="1" applyFill="1" applyBorder="1" applyAlignment="1" applyProtection="1">
      <alignment horizontal="right"/>
    </xf>
    <xf numFmtId="44" fontId="0" fillId="0" borderId="49" xfId="0" applyNumberFormat="1" applyBorder="1" applyAlignment="1">
      <alignment horizontal="right"/>
    </xf>
    <xf numFmtId="3" fontId="3" fillId="0" borderId="0" xfId="0" applyNumberFormat="1" applyFont="1" applyAlignment="1">
      <alignment horizontal="center"/>
    </xf>
    <xf numFmtId="44" fontId="0" fillId="0" borderId="7" xfId="0" applyNumberFormat="1" applyBorder="1" applyAlignment="1">
      <alignment horizontal="right"/>
    </xf>
    <xf numFmtId="0" fontId="3" fillId="0" borderId="50" xfId="0" applyFont="1" applyBorder="1" applyAlignment="1">
      <alignment horizontal="left"/>
    </xf>
    <xf numFmtId="3" fontId="3" fillId="0" borderId="41" xfId="0" applyNumberFormat="1" applyFont="1" applyBorder="1" applyAlignment="1">
      <alignment horizontal="center"/>
    </xf>
    <xf numFmtId="44" fontId="3" fillId="0" borderId="41" xfId="1" applyFont="1" applyFill="1" applyBorder="1" applyProtection="1"/>
    <xf numFmtId="0" fontId="3" fillId="0" borderId="51" xfId="0" applyFont="1" applyBorder="1"/>
    <xf numFmtId="0" fontId="0" fillId="0" borderId="7" xfId="0" applyBorder="1" applyAlignment="1">
      <alignment wrapText="1"/>
    </xf>
    <xf numFmtId="44" fontId="1" fillId="0" borderId="9" xfId="1" applyFill="1" applyBorder="1" applyProtection="1"/>
    <xf numFmtId="0" fontId="0" fillId="0" borderId="35" xfId="0" applyBorder="1"/>
    <xf numFmtId="3" fontId="3" fillId="4" borderId="46" xfId="0" applyNumberFormat="1" applyFont="1" applyFill="1" applyBorder="1" applyProtection="1">
      <protection locked="0"/>
    </xf>
    <xf numFmtId="0" fontId="0" fillId="0" borderId="34" xfId="0" applyBorder="1" applyAlignment="1">
      <alignment wrapText="1"/>
    </xf>
    <xf numFmtId="0" fontId="3" fillId="0" borderId="50" xfId="0" applyFont="1" applyBorder="1" applyAlignment="1">
      <alignment vertical="top" wrapText="1"/>
    </xf>
    <xf numFmtId="166" fontId="3" fillId="0" borderId="41" xfId="0" applyNumberFormat="1" applyFont="1" applyBorder="1" applyAlignment="1">
      <alignment horizontal="center" vertical="top" wrapText="1"/>
    </xf>
    <xf numFmtId="44" fontId="3" fillId="0" borderId="41" xfId="1" quotePrefix="1" applyFont="1" applyFill="1" applyBorder="1" applyProtection="1"/>
    <xf numFmtId="0" fontId="1" fillId="0" borderId="0" xfId="0" applyFont="1" applyAlignment="1">
      <alignment horizontal="left" vertical="top"/>
    </xf>
    <xf numFmtId="38" fontId="3" fillId="0" borderId="1" xfId="0" applyNumberFormat="1" applyFont="1" applyBorder="1" applyAlignment="1" applyProtection="1">
      <alignment horizontal="center" vertical="top" wrapText="1"/>
      <protection locked="0"/>
    </xf>
    <xf numFmtId="3" fontId="0" fillId="0" borderId="1" xfId="0" applyNumberFormat="1" applyBorder="1" applyAlignment="1" applyProtection="1">
      <alignment horizontal="center"/>
      <protection locked="0"/>
    </xf>
    <xf numFmtId="44" fontId="3" fillId="0" borderId="27" xfId="1" applyFont="1" applyBorder="1" applyProtection="1">
      <protection locked="0"/>
    </xf>
    <xf numFmtId="0" fontId="1" fillId="0" borderId="14" xfId="0" applyFont="1" applyBorder="1"/>
    <xf numFmtId="3" fontId="1" fillId="4" borderId="2" xfId="1" applyNumberFormat="1" applyFont="1" applyFill="1" applyBorder="1" applyProtection="1">
      <protection locked="0"/>
    </xf>
    <xf numFmtId="164" fontId="1" fillId="0" borderId="16" xfId="0" applyNumberFormat="1" applyFont="1" applyBorder="1"/>
    <xf numFmtId="44" fontId="1" fillId="0" borderId="17" xfId="0" applyNumberFormat="1" applyFont="1" applyBorder="1"/>
    <xf numFmtId="3" fontId="1" fillId="0" borderId="2" xfId="1" applyNumberFormat="1" applyFont="1" applyBorder="1" applyProtection="1"/>
    <xf numFmtId="0" fontId="1" fillId="0" borderId="16" xfId="0" applyFont="1" applyBorder="1"/>
    <xf numFmtId="3" fontId="1" fillId="8" borderId="2" xfId="1" applyNumberFormat="1" applyFont="1" applyFill="1" applyBorder="1" applyProtection="1">
      <protection locked="0"/>
    </xf>
    <xf numFmtId="0" fontId="1" fillId="0" borderId="14" xfId="0" quotePrefix="1" applyFont="1" applyBorder="1"/>
    <xf numFmtId="44" fontId="1" fillId="0" borderId="27" xfId="1" applyFont="1" applyBorder="1" applyProtection="1">
      <protection locked="0"/>
    </xf>
    <xf numFmtId="171" fontId="0" fillId="0" borderId="0" xfId="0" applyNumberFormat="1"/>
    <xf numFmtId="6" fontId="11" fillId="0" borderId="0" xfId="0" applyNumberFormat="1" applyFont="1" applyAlignment="1">
      <alignment horizontal="center" vertical="top" wrapText="1"/>
    </xf>
    <xf numFmtId="6" fontId="11" fillId="0" borderId="9" xfId="0" applyNumberFormat="1" applyFont="1" applyBorder="1" applyAlignment="1">
      <alignment horizontal="center" vertical="top" wrapText="1"/>
    </xf>
    <xf numFmtId="3" fontId="2" fillId="0" borderId="1" xfId="4" applyNumberFormat="1" applyFont="1" applyBorder="1" applyAlignment="1">
      <alignment horizontal="center" wrapText="1"/>
    </xf>
    <xf numFmtId="0" fontId="1" fillId="0" borderId="50" xfId="4" applyBorder="1"/>
    <xf numFmtId="0" fontId="0" fillId="0" borderId="41" xfId="0" applyBorder="1" applyAlignment="1">
      <alignment horizontal="right"/>
    </xf>
    <xf numFmtId="0" fontId="1" fillId="0" borderId="3" xfId="4" applyBorder="1" applyAlignment="1">
      <alignment horizontal="right"/>
    </xf>
    <xf numFmtId="0" fontId="0" fillId="0" borderId="33" xfId="0" applyBorder="1" applyAlignment="1">
      <alignment horizontal="right"/>
    </xf>
    <xf numFmtId="0" fontId="0" fillId="0" borderId="4" xfId="0" applyBorder="1" applyAlignment="1">
      <alignment horizontal="right"/>
    </xf>
    <xf numFmtId="0" fontId="1" fillId="0" borderId="7" xfId="4" applyBorder="1"/>
    <xf numFmtId="44" fontId="1" fillId="0" borderId="34" xfId="4" applyNumberFormat="1" applyBorder="1"/>
    <xf numFmtId="44" fontId="1" fillId="0" borderId="0" xfId="5" applyFont="1" applyBorder="1" applyProtection="1"/>
    <xf numFmtId="44" fontId="1" fillId="0" borderId="17" xfId="4" applyNumberFormat="1" applyBorder="1"/>
    <xf numFmtId="9" fontId="1" fillId="0" borderId="0" xfId="6" applyFont="1" applyBorder="1" applyProtection="1"/>
    <xf numFmtId="44" fontId="1" fillId="0" borderId="0" xfId="5" applyBorder="1" applyProtection="1"/>
    <xf numFmtId="44" fontId="1" fillId="9" borderId="17" xfId="4" applyNumberFormat="1" applyFill="1" applyBorder="1"/>
    <xf numFmtId="0" fontId="1" fillId="0" borderId="8" xfId="4" applyBorder="1"/>
    <xf numFmtId="44" fontId="1" fillId="0" borderId="9" xfId="5" applyFont="1" applyBorder="1" applyProtection="1"/>
    <xf numFmtId="0" fontId="1" fillId="0" borderId="9" xfId="4" applyBorder="1" applyAlignment="1">
      <alignment horizontal="right"/>
    </xf>
    <xf numFmtId="0" fontId="1" fillId="0" borderId="9" xfId="4" applyBorder="1"/>
    <xf numFmtId="44" fontId="1" fillId="0" borderId="35" xfId="4" applyNumberFormat="1" applyBorder="1" applyAlignment="1">
      <alignment horizontal="right"/>
    </xf>
    <xf numFmtId="0" fontId="4" fillId="0" borderId="7" xfId="0" applyFont="1" applyBorder="1" applyAlignment="1">
      <alignment vertical="top"/>
    </xf>
    <xf numFmtId="0" fontId="1" fillId="0" borderId="34" xfId="0" applyFont="1" applyBorder="1"/>
    <xf numFmtId="4" fontId="1" fillId="4" borderId="17" xfId="4" applyNumberFormat="1" applyFill="1" applyBorder="1" applyProtection="1">
      <protection locked="0"/>
    </xf>
    <xf numFmtId="0" fontId="1" fillId="0" borderId="0" xfId="4" applyAlignment="1">
      <alignment horizontal="right"/>
    </xf>
    <xf numFmtId="0" fontId="23" fillId="0" borderId="0" xfId="0" applyFont="1" applyAlignment="1">
      <alignment horizontal="right"/>
    </xf>
    <xf numFmtId="0" fontId="4" fillId="0" borderId="0" xfId="4" applyFont="1" applyAlignment="1">
      <alignment horizontal="right"/>
    </xf>
    <xf numFmtId="3" fontId="1" fillId="10" borderId="13" xfId="4" applyNumberFormat="1" applyFill="1" applyBorder="1" applyProtection="1">
      <protection locked="0"/>
    </xf>
    <xf numFmtId="44" fontId="1" fillId="0" borderId="0" xfId="5" applyFont="1" applyFill="1" applyBorder="1" applyAlignment="1" applyProtection="1"/>
    <xf numFmtId="0" fontId="0" fillId="0" borderId="9" xfId="0" applyBorder="1" applyAlignment="1">
      <alignment wrapText="1"/>
    </xf>
    <xf numFmtId="0" fontId="1" fillId="0" borderId="35" xfId="0" applyFont="1" applyBorder="1"/>
    <xf numFmtId="6" fontId="11" fillId="0" borderId="41" xfId="0" applyNumberFormat="1" applyFont="1" applyBorder="1" applyAlignment="1">
      <alignment horizontal="center" vertical="top" wrapText="1"/>
    </xf>
    <xf numFmtId="44" fontId="1" fillId="0" borderId="41" xfId="5" quotePrefix="1" applyFont="1" applyFill="1" applyBorder="1" applyAlignment="1" applyProtection="1">
      <alignment horizontal="right"/>
    </xf>
    <xf numFmtId="10" fontId="1" fillId="0" borderId="41" xfId="5" quotePrefix="1" applyNumberFormat="1" applyFont="1" applyFill="1" applyBorder="1" applyAlignment="1" applyProtection="1">
      <alignment horizontal="right"/>
    </xf>
    <xf numFmtId="6" fontId="11" fillId="0" borderId="41" xfId="0" applyNumberFormat="1" applyFont="1" applyBorder="1" applyAlignment="1">
      <alignment horizontal="justify" vertical="top" wrapText="1"/>
    </xf>
    <xf numFmtId="6" fontId="11" fillId="0" borderId="51" xfId="0" applyNumberFormat="1" applyFont="1" applyBorder="1" applyAlignment="1">
      <alignment horizontal="justify" vertical="top" wrapText="1"/>
    </xf>
    <xf numFmtId="3" fontId="1" fillId="0" borderId="0" xfId="0" applyNumberFormat="1" applyFont="1"/>
    <xf numFmtId="0" fontId="0" fillId="0" borderId="50" xfId="0" applyBorder="1" applyAlignment="1">
      <alignment horizontal="left"/>
    </xf>
    <xf numFmtId="44" fontId="0" fillId="0" borderId="41" xfId="1" applyFont="1" applyFill="1" applyBorder="1" applyProtection="1"/>
    <xf numFmtId="0" fontId="0" fillId="0" borderId="51" xfId="0" applyBorder="1"/>
    <xf numFmtId="0" fontId="0" fillId="0" borderId="50" xfId="0" applyBorder="1"/>
    <xf numFmtId="3" fontId="3" fillId="0" borderId="41" xfId="0" applyNumberFormat="1" applyFont="1" applyBorder="1"/>
    <xf numFmtId="44" fontId="3" fillId="0" borderId="41" xfId="1" applyFont="1" applyBorder="1" applyProtection="1"/>
    <xf numFmtId="0" fontId="1" fillId="0" borderId="7" xfId="0" applyFont="1" applyBorder="1" applyAlignment="1">
      <alignment vertical="top"/>
    </xf>
    <xf numFmtId="3" fontId="1" fillId="0" borderId="41" xfId="0" applyNumberFormat="1" applyFont="1" applyBorder="1" applyAlignment="1">
      <alignment horizontal="center"/>
    </xf>
    <xf numFmtId="44" fontId="24" fillId="0" borderId="41" xfId="1" applyFont="1" applyBorder="1" applyAlignment="1" applyProtection="1">
      <alignment horizontal="center"/>
    </xf>
    <xf numFmtId="0" fontId="4" fillId="0" borderId="7" xfId="4" applyFont="1" applyBorder="1"/>
    <xf numFmtId="172" fontId="1" fillId="4" borderId="11" xfId="5" applyNumberFormat="1" applyFont="1" applyFill="1" applyBorder="1" applyProtection="1">
      <protection locked="0"/>
    </xf>
    <xf numFmtId="0" fontId="8" fillId="0" borderId="0" xfId="0" applyFont="1" applyAlignment="1">
      <alignment horizontal="center"/>
    </xf>
    <xf numFmtId="0" fontId="4" fillId="5" borderId="3" xfId="0" applyFont="1" applyFill="1" applyBorder="1" applyAlignment="1">
      <alignment horizontal="center"/>
    </xf>
    <xf numFmtId="0" fontId="4" fillId="5" borderId="33" xfId="0" applyFont="1" applyFill="1" applyBorder="1" applyAlignment="1">
      <alignment horizontal="center"/>
    </xf>
    <xf numFmtId="0" fontId="4" fillId="5" borderId="4" xfId="0" applyFont="1" applyFill="1" applyBorder="1" applyAlignment="1">
      <alignment horizontal="center"/>
    </xf>
    <xf numFmtId="44" fontId="2" fillId="0" borderId="3" xfId="1" applyFont="1" applyBorder="1" applyAlignment="1" applyProtection="1">
      <alignment horizontal="center"/>
    </xf>
    <xf numFmtId="44" fontId="2" fillId="0" borderId="33" xfId="1" applyFont="1" applyBorder="1" applyAlignment="1" applyProtection="1">
      <alignment horizontal="center"/>
    </xf>
    <xf numFmtId="44" fontId="2" fillId="0" borderId="4" xfId="1" applyFont="1" applyBorder="1" applyAlignment="1" applyProtection="1">
      <alignment horizontal="center"/>
    </xf>
    <xf numFmtId="44" fontId="3" fillId="0" borderId="53" xfId="1" applyFont="1" applyBorder="1" applyAlignment="1" applyProtection="1"/>
    <xf numFmtId="44" fontId="3" fillId="0" borderId="54" xfId="1" applyFont="1" applyBorder="1" applyAlignment="1" applyProtection="1"/>
    <xf numFmtId="0" fontId="3" fillId="0" borderId="54" xfId="0" applyFont="1" applyBorder="1"/>
    <xf numFmtId="0" fontId="4" fillId="5" borderId="8" xfId="0" applyFont="1" applyFill="1" applyBorder="1" applyAlignment="1">
      <alignment horizontal="center"/>
    </xf>
    <xf numFmtId="0" fontId="4" fillId="5" borderId="57" xfId="0" applyFont="1" applyFill="1" applyBorder="1" applyAlignment="1">
      <alignment horizontal="center"/>
    </xf>
    <xf numFmtId="0" fontId="4" fillId="0" borderId="54" xfId="0" applyFont="1" applyBorder="1" applyAlignment="1">
      <alignment horizontal="center"/>
    </xf>
    <xf numFmtId="0" fontId="4" fillId="0" borderId="61" xfId="0" applyFont="1" applyBorder="1" applyAlignment="1">
      <alignment horizontal="center"/>
    </xf>
    <xf numFmtId="0" fontId="2" fillId="0" borderId="3" xfId="4" applyFont="1" applyBorder="1" applyAlignment="1">
      <alignment horizontal="center"/>
    </xf>
    <xf numFmtId="0" fontId="0" fillId="0" borderId="33" xfId="0" applyBorder="1"/>
    <xf numFmtId="0" fontId="0" fillId="0" borderId="4" xfId="0" applyBorder="1"/>
    <xf numFmtId="0" fontId="4" fillId="5" borderId="3" xfId="4" applyFont="1" applyFill="1" applyBorder="1" applyAlignment="1">
      <alignment horizontal="center"/>
    </xf>
    <xf numFmtId="0" fontId="4" fillId="5" borderId="33" xfId="4" applyFont="1" applyFill="1" applyBorder="1" applyAlignment="1">
      <alignment horizontal="center"/>
    </xf>
    <xf numFmtId="0" fontId="4" fillId="5" borderId="4" xfId="4" applyFont="1" applyFill="1" applyBorder="1" applyAlignment="1">
      <alignment horizontal="center"/>
    </xf>
    <xf numFmtId="0" fontId="4" fillId="0" borderId="8" xfId="0" applyFont="1" applyBorder="1" applyAlignment="1">
      <alignment vertical="top" wrapText="1"/>
    </xf>
    <xf numFmtId="0" fontId="0" fillId="0" borderId="9" xfId="0" applyBorder="1" applyAlignment="1">
      <alignment wrapText="1"/>
    </xf>
    <xf numFmtId="0" fontId="4" fillId="0" borderId="60" xfId="0" applyFont="1" applyBorder="1"/>
    <xf numFmtId="0" fontId="4" fillId="0" borderId="43" xfId="0" applyFont="1" applyBorder="1"/>
    <xf numFmtId="0" fontId="4" fillId="0" borderId="48" xfId="0" applyFont="1" applyBorder="1"/>
    <xf numFmtId="0" fontId="4" fillId="0" borderId="60" xfId="0" applyFont="1" applyBorder="1" applyAlignment="1">
      <alignment horizontal="right"/>
    </xf>
    <xf numFmtId="0" fontId="4" fillId="0" borderId="43" xfId="0" applyFont="1" applyBorder="1" applyAlignment="1">
      <alignment horizontal="right"/>
    </xf>
    <xf numFmtId="0" fontId="4" fillId="0" borderId="48" xfId="0" applyFont="1" applyBorder="1" applyAlignment="1">
      <alignment horizontal="right"/>
    </xf>
    <xf numFmtId="0" fontId="4" fillId="0" borderId="46" xfId="0" applyFont="1" applyBorder="1" applyAlignment="1">
      <alignment horizontal="right"/>
    </xf>
    <xf numFmtId="0" fontId="4" fillId="0" borderId="3" xfId="0" applyFont="1" applyBorder="1" applyAlignment="1">
      <alignment horizontal="right"/>
    </xf>
    <xf numFmtId="0" fontId="4" fillId="0" borderId="33" xfId="0" applyFont="1" applyBorder="1" applyAlignment="1">
      <alignment horizontal="right"/>
    </xf>
    <xf numFmtId="0" fontId="4" fillId="0" borderId="4" xfId="0" applyFont="1" applyBorder="1" applyAlignment="1">
      <alignment horizontal="right"/>
    </xf>
    <xf numFmtId="0" fontId="4" fillId="0" borderId="8" xfId="0" applyFont="1" applyBorder="1" applyAlignment="1">
      <alignment horizontal="right"/>
    </xf>
    <xf numFmtId="0" fontId="4" fillId="0" borderId="9" xfId="0" applyFont="1" applyBorder="1" applyAlignment="1">
      <alignment horizontal="right"/>
    </xf>
    <xf numFmtId="0" fontId="4" fillId="0" borderId="30" xfId="0" applyFont="1" applyBorder="1" applyAlignment="1">
      <alignment horizontal="right"/>
    </xf>
    <xf numFmtId="0" fontId="4" fillId="7" borderId="64" xfId="0" applyFont="1" applyFill="1" applyBorder="1" applyAlignment="1">
      <alignment horizontal="center" vertical="center" wrapText="1"/>
    </xf>
    <xf numFmtId="0" fontId="4" fillId="7" borderId="65" xfId="0" applyFont="1" applyFill="1" applyBorder="1" applyAlignment="1">
      <alignment horizontal="center" vertical="center" wrapText="1"/>
    </xf>
    <xf numFmtId="0" fontId="4" fillId="7" borderId="66" xfId="0" applyFont="1" applyFill="1" applyBorder="1" applyAlignment="1">
      <alignment horizontal="center" vertical="center" wrapText="1"/>
    </xf>
    <xf numFmtId="0" fontId="1" fillId="0" borderId="0" xfId="0" applyFont="1" applyAlignment="1">
      <alignment horizontal="left" wrapText="1"/>
    </xf>
    <xf numFmtId="0" fontId="0" fillId="0" borderId="0" xfId="0" applyAlignment="1">
      <alignment horizontal="left" wrapText="1"/>
    </xf>
    <xf numFmtId="44" fontId="2" fillId="5" borderId="3" xfId="1" applyFont="1" applyFill="1" applyBorder="1" applyAlignment="1" applyProtection="1">
      <alignment horizontal="center"/>
    </xf>
    <xf numFmtId="44" fontId="2" fillId="5" borderId="33" xfId="1" applyFont="1" applyFill="1" applyBorder="1" applyAlignment="1" applyProtection="1">
      <alignment horizontal="center"/>
    </xf>
    <xf numFmtId="44" fontId="2" fillId="5" borderId="4" xfId="1" applyFont="1" applyFill="1" applyBorder="1" applyAlignment="1" applyProtection="1">
      <alignment horizontal="center"/>
    </xf>
    <xf numFmtId="0" fontId="3" fillId="0" borderId="7" xfId="0" applyFont="1" applyBorder="1" applyAlignment="1">
      <alignment horizontal="left" vertical="top" wrapText="1"/>
    </xf>
    <xf numFmtId="0" fontId="3" fillId="0" borderId="0" xfId="0" applyFont="1" applyAlignment="1">
      <alignment horizontal="left"/>
    </xf>
    <xf numFmtId="0" fontId="3" fillId="0" borderId="7" xfId="0" applyFont="1" applyBorder="1" applyAlignment="1">
      <alignment horizontal="left"/>
    </xf>
    <xf numFmtId="0" fontId="1" fillId="0" borderId="7" xfId="0" applyFont="1" applyBorder="1" applyAlignment="1">
      <alignment horizontal="left" vertical="top" wrapText="1"/>
    </xf>
    <xf numFmtId="0" fontId="3" fillId="0" borderId="0" xfId="0" applyFont="1"/>
    <xf numFmtId="0" fontId="3" fillId="0" borderId="7" xfId="0" applyFont="1" applyBorder="1"/>
    <xf numFmtId="3" fontId="3" fillId="0" borderId="3" xfId="0" applyNumberFormat="1" applyFont="1" applyBorder="1" applyAlignment="1">
      <alignment horizontal="center"/>
    </xf>
    <xf numFmtId="3" fontId="3" fillId="0" borderId="33" xfId="0" applyNumberFormat="1" applyFont="1" applyBorder="1" applyAlignment="1">
      <alignment horizontal="center"/>
    </xf>
    <xf numFmtId="3" fontId="3" fillId="0" borderId="4" xfId="0" applyNumberFormat="1" applyFont="1" applyBorder="1" applyAlignment="1">
      <alignment horizontal="center"/>
    </xf>
    <xf numFmtId="0" fontId="3" fillId="0" borderId="0" xfId="0" applyFont="1" applyAlignment="1">
      <alignment vertical="top" wrapText="1"/>
    </xf>
    <xf numFmtId="0" fontId="0" fillId="0" borderId="34" xfId="0" applyBorder="1" applyAlignment="1">
      <alignment horizontal="left" wrapText="1"/>
    </xf>
    <xf numFmtId="0" fontId="0" fillId="0" borderId="7" xfId="0" applyBorder="1" applyAlignment="1">
      <alignment horizontal="left" wrapText="1"/>
    </xf>
    <xf numFmtId="44" fontId="0" fillId="0" borderId="7" xfId="0" applyNumberFormat="1" applyBorder="1" applyAlignment="1">
      <alignment horizontal="right" wrapText="1"/>
    </xf>
    <xf numFmtId="0" fontId="0" fillId="0" borderId="8" xfId="0" applyBorder="1" applyAlignment="1">
      <alignment wrapText="1"/>
    </xf>
    <xf numFmtId="0" fontId="1" fillId="0" borderId="7" xfId="0" applyFont="1" applyBorder="1" applyAlignment="1">
      <alignment horizontal="left" wrapText="1"/>
    </xf>
    <xf numFmtId="0" fontId="0" fillId="0" borderId="0" xfId="0" applyAlignment="1">
      <alignment wrapText="1"/>
    </xf>
    <xf numFmtId="0" fontId="0" fillId="0" borderId="34" xfId="0" applyBorder="1" applyAlignment="1">
      <alignment wrapText="1"/>
    </xf>
    <xf numFmtId="0" fontId="0" fillId="0" borderId="7" xfId="0" applyBorder="1" applyAlignment="1">
      <alignment wrapText="1"/>
    </xf>
    <xf numFmtId="0" fontId="1" fillId="0" borderId="0" xfId="0" applyFont="1" applyAlignment="1">
      <alignment wrapText="1"/>
    </xf>
    <xf numFmtId="0" fontId="1" fillId="0" borderId="34" xfId="0" applyFont="1" applyBorder="1" applyAlignment="1">
      <alignment wrapText="1"/>
    </xf>
    <xf numFmtId="0" fontId="1" fillId="0" borderId="7" xfId="0" applyFont="1" applyBorder="1" applyAlignment="1">
      <alignment wrapText="1"/>
    </xf>
    <xf numFmtId="44" fontId="2" fillId="0" borderId="50" xfId="1" applyFont="1" applyBorder="1" applyAlignment="1" applyProtection="1">
      <alignment horizontal="center"/>
    </xf>
    <xf numFmtId="44" fontId="2" fillId="0" borderId="41" xfId="1" applyFont="1" applyBorder="1" applyAlignment="1" applyProtection="1">
      <alignment horizontal="center"/>
    </xf>
    <xf numFmtId="44" fontId="2" fillId="0" borderId="51" xfId="1" applyFont="1" applyBorder="1" applyAlignment="1" applyProtection="1">
      <alignment horizontal="center"/>
    </xf>
    <xf numFmtId="0" fontId="0" fillId="0" borderId="0" xfId="0" applyAlignment="1">
      <alignment horizontal="left"/>
    </xf>
    <xf numFmtId="0" fontId="1" fillId="0" borderId="0" xfId="4" applyAlignment="1">
      <alignment horizontal="left" vertical="top" wrapText="1"/>
    </xf>
    <xf numFmtId="0" fontId="1" fillId="0" borderId="0" xfId="0" applyFont="1" applyAlignment="1">
      <alignment horizontal="center"/>
    </xf>
    <xf numFmtId="0" fontId="1" fillId="0" borderId="14" xfId="0" applyFont="1" applyBorder="1" applyProtection="1">
      <protection locked="0"/>
    </xf>
    <xf numFmtId="0" fontId="1" fillId="0" borderId="37" xfId="0" applyFont="1" applyBorder="1"/>
    <xf numFmtId="0" fontId="3" fillId="0" borderId="14" xfId="0" applyFont="1" applyBorder="1" applyProtection="1"/>
  </cellXfs>
  <cellStyles count="9">
    <cellStyle name="Comma" xfId="3" builtinId="3"/>
    <cellStyle name="Comma 2" xfId="7" xr:uid="{00000000-0005-0000-0000-000001000000}"/>
    <cellStyle name="Currency" xfId="1" builtinId="4"/>
    <cellStyle name="Currency 2" xfId="5" xr:uid="{00000000-0005-0000-0000-000003000000}"/>
    <cellStyle name="Hyperlink" xfId="8" builtinId="8"/>
    <cellStyle name="Normal" xfId="0" builtinId="0"/>
    <cellStyle name="Normal 2" xfId="4" xr:uid="{00000000-0005-0000-0000-000006000000}"/>
    <cellStyle name="Percent" xfId="2" builtinId="5"/>
    <cellStyle name="Percent 2" xfId="6" xr:uid="{00000000-0005-0000-0000-000008000000}"/>
  </cellStyles>
  <dxfs count="0"/>
  <tableStyles count="0" defaultTableStyle="TableStyleMedium9" defaultPivotStyle="PivotStyleLight16"/>
  <colors>
    <mruColors>
      <color rgb="FFFFFF99"/>
      <color rgb="FF66FF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514872</xdr:colOff>
      <xdr:row>18</xdr:row>
      <xdr:rowOff>16675</xdr:rowOff>
    </xdr:from>
    <xdr:to>
      <xdr:col>7</xdr:col>
      <xdr:colOff>123266</xdr:colOff>
      <xdr:row>29</xdr:row>
      <xdr:rowOff>143385</xdr:rowOff>
    </xdr:to>
    <xdr:pic>
      <xdr:nvPicPr>
        <xdr:cNvPr id="3" name="Picture 2">
          <a:extLst>
            <a:ext uri="{FF2B5EF4-FFF2-40B4-BE49-F238E27FC236}">
              <a16:creationId xmlns:a16="http://schemas.microsoft.com/office/drawing/2014/main" id="{3CB05FC2-8296-41EB-A42F-5A71DDBCA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9990" y="3512910"/>
          <a:ext cx="3239100" cy="18524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85726</xdr:colOff>
      <xdr:row>0</xdr:row>
      <xdr:rowOff>0</xdr:rowOff>
    </xdr:from>
    <xdr:to>
      <xdr:col>7</xdr:col>
      <xdr:colOff>694016</xdr:colOff>
      <xdr:row>12</xdr:row>
      <xdr:rowOff>66516</xdr:rowOff>
    </xdr:to>
    <xdr:sp macro="" textlink="" fLocksText="0">
      <xdr:nvSpPr>
        <xdr:cNvPr id="3073" name="Text Box 1">
          <a:extLst>
            <a:ext uri="{FF2B5EF4-FFF2-40B4-BE49-F238E27FC236}">
              <a16:creationId xmlns:a16="http://schemas.microsoft.com/office/drawing/2014/main" id="{00000000-0008-0000-0100-0000010C0000}"/>
            </a:ext>
          </a:extLst>
        </xdr:cNvPr>
        <xdr:cNvSpPr txBox="1">
          <a:spLocks noChangeArrowheads="1"/>
        </xdr:cNvSpPr>
      </xdr:nvSpPr>
      <xdr:spPr bwMode="auto">
        <a:xfrm>
          <a:off x="85726" y="161924"/>
          <a:ext cx="7351990" cy="2028667"/>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LAND DEVELOPMENT DIVISION</a:t>
          </a:r>
        </a:p>
        <a:p>
          <a:pPr algn="ctr" rtl="0">
            <a:defRPr sz="1000"/>
          </a:pPr>
          <a:r>
            <a:rPr lang="en-US" sz="1100" b="1" i="0" u="none" strike="noStrike" baseline="0">
              <a:solidFill>
                <a:srgbClr val="000000"/>
              </a:solidFill>
              <a:latin typeface="Arial"/>
              <a:cs typeface="Arial"/>
            </a:rPr>
            <a:t>ROADS</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ROAD IMPROVEMENTS FOR PARCEL MAP/TRACT NO._______________________________________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LOCATION_____________________________________________________________________________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BY____________________ DATE_____________ CHECKED BY________ DATE__________</a:t>
          </a:r>
        </a:p>
        <a:p>
          <a:pPr algn="ctr" rtl="0">
            <a:defRPr sz="1000"/>
          </a:pPr>
          <a:endParaRPr lang="en-US" sz="11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185106</xdr:colOff>
      <xdr:row>0</xdr:row>
      <xdr:rowOff>147006</xdr:rowOff>
    </xdr:from>
    <xdr:to>
      <xdr:col>7</xdr:col>
      <xdr:colOff>694015</xdr:colOff>
      <xdr:row>12</xdr:row>
      <xdr:rowOff>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85106" y="147006"/>
          <a:ext cx="6823984" cy="2043586"/>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TRAFFIC &amp; LIGHTING DIVISION</a:t>
          </a:r>
        </a:p>
        <a:p>
          <a:pPr algn="ctr" rtl="0">
            <a:defRPr sz="1000"/>
          </a:pPr>
          <a:r>
            <a:rPr lang="en-US" sz="1100" b="1" i="0" u="none" strike="noStrike" baseline="0">
              <a:solidFill>
                <a:srgbClr val="000000"/>
              </a:solidFill>
              <a:latin typeface="Arial"/>
              <a:cs typeface="Arial"/>
            </a:rPr>
            <a:t>TRAFFIC STUDIES</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SIGNING &amp; STRIPING FOR PARCEL MAP/TRACT NO._______________________________________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LOCATION_____________________________________________________________________________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BY____________________ DATE_____________ CHECKED BY________ DATE__________</a:t>
          </a:r>
        </a:p>
        <a:p>
          <a:pPr algn="ctr" rtl="0">
            <a:defRPr sz="1000"/>
          </a:pPr>
          <a:endParaRPr lang="en-US" sz="11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185106</xdr:colOff>
      <xdr:row>0</xdr:row>
      <xdr:rowOff>113040</xdr:rowOff>
    </xdr:from>
    <xdr:to>
      <xdr:col>6</xdr:col>
      <xdr:colOff>694016</xdr:colOff>
      <xdr:row>11</xdr:row>
      <xdr:rowOff>85725</xdr:rowOff>
    </xdr:to>
    <xdr:sp macro="" textlink="" fLocksText="0">
      <xdr:nvSpPr>
        <xdr:cNvPr id="5121" name="Text Box 1">
          <a:extLst>
            <a:ext uri="{FF2B5EF4-FFF2-40B4-BE49-F238E27FC236}">
              <a16:creationId xmlns:a16="http://schemas.microsoft.com/office/drawing/2014/main" id="{00000000-0008-0000-0400-000001140000}"/>
            </a:ext>
          </a:extLst>
        </xdr:cNvPr>
        <xdr:cNvSpPr txBox="1">
          <a:spLocks noChangeArrowheads="1"/>
        </xdr:cNvSpPr>
      </xdr:nvSpPr>
      <xdr:spPr bwMode="auto">
        <a:xfrm>
          <a:off x="185106" y="113040"/>
          <a:ext cx="7309760" cy="1763385"/>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LAND DEVELOPMENT DIVISION</a:t>
          </a:r>
        </a:p>
        <a:p>
          <a:pPr algn="ctr" rtl="0">
            <a:defRPr sz="1000"/>
          </a:pPr>
          <a:r>
            <a:rPr lang="en-US" sz="1100" b="1" i="0" u="none" strike="noStrike" baseline="0">
              <a:solidFill>
                <a:srgbClr val="000000"/>
              </a:solidFill>
              <a:latin typeface="Arial"/>
              <a:cs typeface="Arial"/>
            </a:rPr>
            <a:t>PRIVATE DRAIN (PD) / MISCELLANEOUS TRANSFER DRAIN (MTD)</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STORM DRAIN FOR PARCEL MAP/TRACT NO.__________________   PD/MTD No._________________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LOCATION_____________________________________________________________________________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BY____________________ DATE_____________ CHECKED BY________ DATE__________</a:t>
          </a:r>
        </a:p>
        <a:p>
          <a:pPr algn="ctr" rtl="0">
            <a:defRPr sz="1000"/>
          </a:pPr>
          <a:endParaRPr lang="en-US" sz="1100" b="0" i="0" u="none" strike="noStrike" baseline="0">
            <a:solidFill>
              <a:srgbClr val="000000"/>
            </a:solidFill>
            <a:latin typeface="Arial"/>
            <a:cs typeface="Arial"/>
          </a:endParaRPr>
        </a:p>
      </xdr:txBody>
    </xdr:sp>
    <xdr:clientData fLocksWithSheet="0"/>
  </xdr:twoCellAnchor>
  <xdr:oneCellAnchor>
    <xdr:from>
      <xdr:col>0</xdr:col>
      <xdr:colOff>1371600</xdr:colOff>
      <xdr:row>76</xdr:row>
      <xdr:rowOff>123825</xdr:rowOff>
    </xdr:from>
    <xdr:ext cx="184731" cy="26456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371600" y="74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185106</xdr:colOff>
      <xdr:row>0</xdr:row>
      <xdr:rowOff>99381</xdr:rowOff>
    </xdr:from>
    <xdr:to>
      <xdr:col>6</xdr:col>
      <xdr:colOff>694015</xdr:colOff>
      <xdr:row>11</xdr:row>
      <xdr:rowOff>19076</xdr:rowOff>
    </xdr:to>
    <xdr:sp macro="" textlink="" fLocksText="0">
      <xdr:nvSpPr>
        <xdr:cNvPr id="1025" name="Text Box 1">
          <a:extLst>
            <a:ext uri="{FF2B5EF4-FFF2-40B4-BE49-F238E27FC236}">
              <a16:creationId xmlns:a16="http://schemas.microsoft.com/office/drawing/2014/main" id="{00000000-0008-0000-0500-000001040000}"/>
            </a:ext>
          </a:extLst>
        </xdr:cNvPr>
        <xdr:cNvSpPr txBox="1">
          <a:spLocks noChangeArrowheads="1"/>
        </xdr:cNvSpPr>
      </xdr:nvSpPr>
      <xdr:spPr bwMode="auto">
        <a:xfrm>
          <a:off x="188702" y="102977"/>
          <a:ext cx="6846658" cy="2030636"/>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LAND DEVELOPMENT DIVISION</a:t>
          </a:r>
        </a:p>
        <a:p>
          <a:pPr algn="ctr" rtl="0">
            <a:defRPr sz="1000"/>
          </a:pPr>
          <a:r>
            <a:rPr lang="en-US" sz="1100" b="1" i="0" u="none" strike="noStrike" baseline="0">
              <a:solidFill>
                <a:srgbClr val="000000"/>
              </a:solidFill>
              <a:latin typeface="Arial"/>
              <a:cs typeface="Arial"/>
            </a:rPr>
            <a:t>SEWER SYSTEMS</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SEWER IMPROVEMENTS FOR PARCEL MAP/TRACT NO.___</a:t>
          </a:r>
          <a:r>
            <a:rPr lang="en-US" sz="1100" b="0" i="0" u="sng" strike="noStrike" baseline="0">
              <a:solidFill>
                <a:srgbClr val="000000"/>
              </a:solidFill>
              <a:latin typeface="Arial"/>
              <a:cs typeface="Arial"/>
            </a:rPr>
            <a:t>        </a:t>
          </a:r>
          <a:r>
            <a:rPr lang="en-US" sz="1100" b="0" i="0" u="none" strike="noStrike" baseline="0">
              <a:solidFill>
                <a:srgbClr val="000000"/>
              </a:solidFill>
              <a:latin typeface="Arial"/>
              <a:cs typeface="Arial"/>
            </a:rPr>
            <a:t>__   PC No.___</a:t>
          </a:r>
          <a:r>
            <a:rPr lang="en-US" sz="1100" b="0" i="0" u="sng" strike="noStrike" baseline="0">
              <a:solidFill>
                <a:srgbClr val="000000"/>
              </a:solidFill>
              <a:latin typeface="Arial"/>
              <a:cs typeface="Arial"/>
            </a:rPr>
            <a:t>     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a:t>
          </a:r>
          <a:r>
            <a:rPr lang="en-US" sz="1100" b="0" i="0" u="sng" strike="noStrike" baseline="0">
              <a:solidFill>
                <a:srgbClr val="000000"/>
              </a:solidFill>
              <a:latin typeface="Arial"/>
              <a:cs typeface="Arial"/>
            </a:rPr>
            <a:t> ___________</a:t>
          </a: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a:t>
          </a:r>
          <a:r>
            <a:rPr lang="en-US" sz="1100" b="0" i="0" u="sng" strike="noStrike" baseline="0">
              <a:solidFill>
                <a:srgbClr val="000000"/>
              </a:solidFill>
              <a:latin typeface="Arial"/>
              <a:cs typeface="Arial"/>
            </a:rPr>
            <a:t>_  </a:t>
          </a:r>
          <a:r>
            <a:rPr lang="en-US" sz="1100" b="0" i="0" u="none" strike="noStrike" baseline="0">
              <a:solidFill>
                <a:srgbClr val="000000"/>
              </a:solidFill>
              <a:latin typeface="Arial"/>
              <a:cs typeface="Arial"/>
            </a:rPr>
            <a:t>_ DATE__</a:t>
          </a:r>
          <a:r>
            <a:rPr lang="en-US" sz="1100" b="0" i="0" u="sng" strike="noStrike" baseline="0">
              <a:solidFill>
                <a:srgbClr val="000000"/>
              </a:solidFill>
              <a:latin typeface="Arial"/>
              <a:cs typeface="Arial"/>
            </a:rPr>
            <a:t>        </a:t>
          </a:r>
          <a:r>
            <a:rPr lang="en-US" sz="1100" b="0" i="0" u="none" strike="noStrike" baseline="0">
              <a:solidFill>
                <a:srgbClr val="000000"/>
              </a:solidFill>
              <a:latin typeface="Arial"/>
              <a:cs typeface="Arial"/>
            </a:rPr>
            <a:t>__ CHECKED BY__</a:t>
          </a:r>
          <a:r>
            <a:rPr lang="en-US" sz="1100" b="0" i="0" u="sng" strike="noStrike" baseline="0">
              <a:solidFill>
                <a:srgbClr val="000000"/>
              </a:solidFill>
              <a:latin typeface="Arial"/>
              <a:cs typeface="Arial"/>
            </a:rPr>
            <a:t>  </a:t>
          </a:r>
          <a:r>
            <a:rPr lang="en-US" sz="1100" b="0" i="0" u="none" strike="noStrike" baseline="0">
              <a:solidFill>
                <a:srgbClr val="000000"/>
              </a:solidFill>
              <a:latin typeface="Arial"/>
              <a:cs typeface="Arial"/>
            </a:rPr>
            <a:t>_ DATE_</a:t>
          </a:r>
          <a:r>
            <a:rPr lang="en-US" sz="1100" b="0" i="0" u="sng" strike="noStrike" baseline="0">
              <a:solidFill>
                <a:srgbClr val="000000"/>
              </a:solidFill>
              <a:latin typeface="Arial"/>
              <a:cs typeface="Arial"/>
            </a:rPr>
            <a:t>        </a:t>
          </a:r>
          <a:r>
            <a:rPr lang="en-US" sz="1100" b="0" i="0" u="none" strike="noStrike" baseline="0">
              <a:solidFill>
                <a:srgbClr val="000000"/>
              </a:solidFill>
              <a:latin typeface="Arial"/>
              <a:cs typeface="Arial"/>
            </a:rPr>
            <a:t>__</a:t>
          </a:r>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185106</xdr:colOff>
      <xdr:row>1</xdr:row>
      <xdr:rowOff>33606</xdr:rowOff>
    </xdr:from>
    <xdr:to>
      <xdr:col>6</xdr:col>
      <xdr:colOff>694015</xdr:colOff>
      <xdr:row>11</xdr:row>
      <xdr:rowOff>123825</xdr:rowOff>
    </xdr:to>
    <xdr:sp macro="" textlink="" fLocksText="0">
      <xdr:nvSpPr>
        <xdr:cNvPr id="4097" name="Text Box 1">
          <a:extLst>
            <a:ext uri="{FF2B5EF4-FFF2-40B4-BE49-F238E27FC236}">
              <a16:creationId xmlns:a16="http://schemas.microsoft.com/office/drawing/2014/main" id="{00000000-0008-0000-0600-000001100000}"/>
            </a:ext>
          </a:extLst>
        </xdr:cNvPr>
        <xdr:cNvSpPr txBox="1">
          <a:spLocks noChangeArrowheads="1"/>
        </xdr:cNvSpPr>
      </xdr:nvSpPr>
      <xdr:spPr bwMode="auto">
        <a:xfrm>
          <a:off x="185106" y="195531"/>
          <a:ext cx="6823984" cy="1709469"/>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LAND DEVELOPMENT DIVISION</a:t>
          </a:r>
        </a:p>
        <a:p>
          <a:pPr algn="ctr" rtl="0">
            <a:defRPr sz="1000"/>
          </a:pPr>
          <a:r>
            <a:rPr lang="en-US" sz="1100" b="1" i="0" u="none" strike="noStrike" baseline="0">
              <a:solidFill>
                <a:srgbClr val="000000"/>
              </a:solidFill>
              <a:latin typeface="Arial"/>
              <a:cs typeface="Arial"/>
            </a:rPr>
            <a:t>WATER SYSTEMS</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WATER  IMPROVEMENTS FOR PARCEL MAP/TRACT NO._____________________________________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LOCATION_____________________________________________________________________________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BY____________________ DATE_____________ CHECKED BY________ DATE__________</a:t>
          </a:r>
        </a:p>
        <a:p>
          <a:pPr algn="ctr" rtl="0">
            <a:defRPr sz="1000"/>
          </a:pPr>
          <a:endParaRPr lang="en-US" sz="1100" b="0" i="0" u="none" strike="noStrike" baseline="0">
            <a:solidFill>
              <a:srgbClr val="000000"/>
            </a:solidFill>
            <a:latin typeface="Arial"/>
            <a:cs typeface="Arial"/>
          </a:endParaRPr>
        </a:p>
      </xdr:txBody>
    </xdr: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185106</xdr:colOff>
      <xdr:row>0</xdr:row>
      <xdr:rowOff>118431</xdr:rowOff>
    </xdr:from>
    <xdr:to>
      <xdr:col>6</xdr:col>
      <xdr:colOff>694014</xdr:colOff>
      <xdr:row>10</xdr:row>
      <xdr:rowOff>38126</xdr:rowOff>
    </xdr:to>
    <xdr:sp macro="" textlink="" fLocksText="0">
      <xdr:nvSpPr>
        <xdr:cNvPr id="7169" name="Text Box 1">
          <a:extLst>
            <a:ext uri="{FF2B5EF4-FFF2-40B4-BE49-F238E27FC236}">
              <a16:creationId xmlns:a16="http://schemas.microsoft.com/office/drawing/2014/main" id="{00000000-0008-0000-0700-0000011C0000}"/>
            </a:ext>
          </a:extLst>
        </xdr:cNvPr>
        <xdr:cNvSpPr txBox="1">
          <a:spLocks noChangeArrowheads="1"/>
        </xdr:cNvSpPr>
      </xdr:nvSpPr>
      <xdr:spPr bwMode="auto">
        <a:xfrm>
          <a:off x="196429" y="129754"/>
          <a:ext cx="6929674" cy="2064952"/>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LAND DEVELOPMENT DIVISION</a:t>
          </a:r>
        </a:p>
        <a:p>
          <a:pPr algn="ctr" rtl="0">
            <a:defRPr sz="1000"/>
          </a:pPr>
          <a:r>
            <a:rPr lang="en-US" sz="1100" b="1" i="0" u="none" strike="noStrike" baseline="0">
              <a:solidFill>
                <a:srgbClr val="000000"/>
              </a:solidFill>
              <a:latin typeface="Arial"/>
              <a:cs typeface="Arial"/>
            </a:rPr>
            <a:t>REGIONAL PLANNING ITEMS</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REGIONAL PLANNING ITEMS MAP/TRACT NO._______________________________________________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LOCATION_____________________________________________________________________________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BY____________________ DATE_____________ CHECKED BY________ DATE__________</a:t>
          </a:r>
        </a:p>
        <a:p>
          <a:pPr algn="ctr" rtl="0">
            <a:defRPr sz="1000"/>
          </a:pPr>
          <a:endParaRPr lang="en-US" sz="1100" b="0" i="0" u="none" strike="noStrike" baseline="0">
            <a:solidFill>
              <a:srgbClr val="000000"/>
            </a:solidFill>
            <a:latin typeface="Arial"/>
            <a:cs typeface="Aria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file:///\\PW01\pwpublic\Permits\Admin\Permit%20Fee%20Adjust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45"/>
  <sheetViews>
    <sheetView zoomScale="85" zoomScaleNormal="85" zoomScaleSheetLayoutView="130" workbookViewId="0">
      <selection activeCell="E42" sqref="E42"/>
    </sheetView>
  </sheetViews>
  <sheetFormatPr defaultColWidth="9.08984375" defaultRowHeight="12.5" x14ac:dyDescent="0.25"/>
  <sheetData>
    <row r="6" spans="1:9" ht="23" x14ac:dyDescent="0.5">
      <c r="A6" s="478" t="s">
        <v>218</v>
      </c>
      <c r="B6" s="478"/>
      <c r="C6" s="478"/>
      <c r="D6" s="478"/>
      <c r="E6" s="478"/>
      <c r="F6" s="478"/>
      <c r="G6" s="478"/>
      <c r="H6" s="478"/>
      <c r="I6" s="478"/>
    </row>
    <row r="7" spans="1:9" ht="23" x14ac:dyDescent="0.5">
      <c r="A7" s="189"/>
      <c r="B7" s="189"/>
      <c r="C7" s="189"/>
      <c r="D7" s="189"/>
      <c r="E7" s="189"/>
      <c r="F7" s="189"/>
      <c r="G7" s="189"/>
      <c r="H7" s="189"/>
      <c r="I7" s="189"/>
    </row>
    <row r="8" spans="1:9" ht="23" x14ac:dyDescent="0.5">
      <c r="A8" s="478" t="s">
        <v>219</v>
      </c>
      <c r="B8" s="478"/>
      <c r="C8" s="478"/>
      <c r="D8" s="478"/>
      <c r="E8" s="478"/>
      <c r="F8" s="478"/>
      <c r="G8" s="478"/>
      <c r="H8" s="478"/>
      <c r="I8" s="478"/>
    </row>
    <row r="9" spans="1:9" ht="23" x14ac:dyDescent="0.5">
      <c r="A9" s="189"/>
      <c r="B9" s="189"/>
      <c r="C9" s="189"/>
      <c r="D9" s="189"/>
      <c r="E9" s="189"/>
      <c r="F9" s="189"/>
      <c r="G9" s="189"/>
      <c r="H9" s="189"/>
      <c r="I9" s="189"/>
    </row>
    <row r="10" spans="1:9" ht="23" x14ac:dyDescent="0.5">
      <c r="A10" s="478" t="s">
        <v>220</v>
      </c>
      <c r="B10" s="478"/>
      <c r="C10" s="478"/>
      <c r="D10" s="478"/>
      <c r="E10" s="478"/>
      <c r="F10" s="478"/>
      <c r="G10" s="478"/>
      <c r="H10" s="478"/>
      <c r="I10" s="478"/>
    </row>
    <row r="11" spans="1:9" ht="13" x14ac:dyDescent="0.3">
      <c r="A11" s="1"/>
      <c r="B11" s="1"/>
      <c r="C11" s="1"/>
      <c r="D11" s="1"/>
      <c r="E11" s="1"/>
      <c r="F11" s="1"/>
      <c r="G11" s="1"/>
      <c r="H11" s="1"/>
      <c r="I11" s="1"/>
    </row>
    <row r="13" spans="1:9" ht="13" x14ac:dyDescent="0.3">
      <c r="A13" s="190"/>
      <c r="B13" s="190"/>
      <c r="C13" s="190"/>
      <c r="D13" s="190"/>
      <c r="E13" s="190"/>
      <c r="F13" s="190"/>
      <c r="G13" s="190"/>
      <c r="H13" s="190"/>
      <c r="I13" s="190"/>
    </row>
    <row r="14" spans="1:9" ht="13" x14ac:dyDescent="0.3">
      <c r="A14" s="190"/>
      <c r="B14" s="190"/>
      <c r="C14" s="190"/>
      <c r="D14" s="190"/>
      <c r="E14" s="190"/>
      <c r="F14" s="190"/>
      <c r="G14" s="190"/>
      <c r="H14" s="190"/>
      <c r="I14" s="190"/>
    </row>
    <row r="15" spans="1:9" ht="13" x14ac:dyDescent="0.3">
      <c r="A15" s="190"/>
      <c r="B15" s="190"/>
      <c r="C15" s="190"/>
      <c r="D15" s="190"/>
      <c r="E15" s="190"/>
      <c r="F15" s="190"/>
      <c r="G15" s="190"/>
      <c r="H15" s="190"/>
      <c r="I15" s="190"/>
    </row>
    <row r="16" spans="1:9" ht="13" x14ac:dyDescent="0.3">
      <c r="A16" s="190"/>
      <c r="B16" s="190"/>
      <c r="C16" s="190"/>
      <c r="D16" s="190"/>
      <c r="E16" s="190"/>
      <c r="F16" s="190"/>
      <c r="G16" s="190"/>
      <c r="H16" s="190"/>
      <c r="I16" s="190"/>
    </row>
    <row r="17" spans="1:9" ht="13" x14ac:dyDescent="0.3">
      <c r="A17" s="190"/>
      <c r="B17" s="190"/>
      <c r="C17" s="190"/>
      <c r="D17" s="190"/>
      <c r="E17" s="190"/>
      <c r="F17" s="190"/>
      <c r="G17" s="190"/>
      <c r="H17" s="190"/>
      <c r="I17" s="190"/>
    </row>
    <row r="18" spans="1:9" ht="13" x14ac:dyDescent="0.3">
      <c r="A18" s="190"/>
      <c r="B18" s="190"/>
      <c r="C18" s="190"/>
      <c r="D18" s="190"/>
      <c r="E18" s="190"/>
      <c r="F18" s="190"/>
      <c r="G18" s="190"/>
      <c r="H18" s="190"/>
      <c r="I18" s="190"/>
    </row>
    <row r="19" spans="1:9" ht="13" x14ac:dyDescent="0.3">
      <c r="A19" s="190"/>
      <c r="B19" s="190"/>
      <c r="C19" s="190"/>
      <c r="D19" s="190"/>
      <c r="E19" s="190"/>
      <c r="F19" s="190"/>
      <c r="G19" s="190"/>
      <c r="H19" s="190"/>
      <c r="I19" s="190"/>
    </row>
    <row r="20" spans="1:9" ht="13" x14ac:dyDescent="0.3">
      <c r="A20" s="190"/>
      <c r="B20" s="190"/>
      <c r="C20" s="190"/>
      <c r="D20" s="190"/>
      <c r="E20" s="190"/>
      <c r="F20" s="190"/>
      <c r="G20" s="190"/>
      <c r="H20" s="190"/>
      <c r="I20" s="190"/>
    </row>
    <row r="21" spans="1:9" ht="13" x14ac:dyDescent="0.3">
      <c r="A21" s="190"/>
      <c r="B21" s="190"/>
      <c r="C21" s="190"/>
      <c r="D21" s="190"/>
      <c r="E21" s="190"/>
      <c r="F21" s="190"/>
      <c r="G21" s="190"/>
      <c r="H21" s="190"/>
      <c r="I21" s="190"/>
    </row>
    <row r="22" spans="1:9" ht="13" x14ac:dyDescent="0.3">
      <c r="A22" s="190"/>
      <c r="B22" s="190"/>
      <c r="C22" s="190"/>
      <c r="D22" s="190"/>
      <c r="E22" s="190"/>
      <c r="F22" s="190"/>
      <c r="G22" s="190"/>
      <c r="H22" s="190"/>
      <c r="I22" s="190"/>
    </row>
    <row r="23" spans="1:9" ht="13" x14ac:dyDescent="0.3">
      <c r="A23" s="190"/>
      <c r="B23" s="190"/>
      <c r="C23" s="190"/>
      <c r="D23" s="190"/>
      <c r="E23" s="190"/>
      <c r="F23" s="190"/>
      <c r="G23" s="190"/>
      <c r="H23" s="190"/>
      <c r="I23" s="190"/>
    </row>
    <row r="24" spans="1:9" ht="13" x14ac:dyDescent="0.3">
      <c r="A24" s="190"/>
      <c r="B24" s="190"/>
      <c r="C24" s="190"/>
      <c r="D24" s="190"/>
      <c r="E24" s="190"/>
      <c r="F24" s="190"/>
      <c r="G24" s="190"/>
      <c r="H24" s="190"/>
      <c r="I24" s="190"/>
    </row>
    <row r="25" spans="1:9" ht="13" x14ac:dyDescent="0.3">
      <c r="A25" s="190"/>
      <c r="B25" s="190"/>
      <c r="C25" s="190"/>
      <c r="D25" s="190"/>
      <c r="E25" s="190"/>
      <c r="F25" s="190"/>
      <c r="G25" s="190"/>
      <c r="H25" s="190"/>
      <c r="I25" s="190"/>
    </row>
    <row r="26" spans="1:9" ht="13" x14ac:dyDescent="0.3">
      <c r="A26" s="190"/>
      <c r="B26" s="190"/>
      <c r="C26" s="190"/>
      <c r="D26" s="190"/>
      <c r="E26" s="190"/>
      <c r="F26" s="190"/>
      <c r="G26" s="190"/>
      <c r="H26" s="190"/>
      <c r="I26" s="190"/>
    </row>
    <row r="27" spans="1:9" ht="13" x14ac:dyDescent="0.3">
      <c r="A27" s="190"/>
      <c r="B27" s="190"/>
      <c r="C27" s="190"/>
      <c r="D27" s="190"/>
      <c r="E27" s="190"/>
      <c r="F27" s="190"/>
      <c r="G27" s="190"/>
      <c r="H27" s="190"/>
      <c r="I27" s="190"/>
    </row>
    <row r="28" spans="1:9" ht="13" x14ac:dyDescent="0.3">
      <c r="A28" s="190"/>
      <c r="B28" s="190"/>
      <c r="C28" s="190"/>
      <c r="D28" s="190"/>
      <c r="E28" s="190"/>
      <c r="F28" s="190"/>
      <c r="G28" s="190"/>
      <c r="H28" s="190"/>
      <c r="I28" s="190"/>
    </row>
    <row r="29" spans="1:9" ht="13" x14ac:dyDescent="0.3">
      <c r="A29" s="190"/>
      <c r="B29" s="190"/>
      <c r="C29" s="190"/>
      <c r="D29" s="190"/>
      <c r="E29" s="190"/>
      <c r="F29" s="190"/>
      <c r="G29" s="190"/>
      <c r="H29" s="190"/>
      <c r="I29" s="190"/>
    </row>
    <row r="30" spans="1:9" ht="13" x14ac:dyDescent="0.3">
      <c r="A30" s="190"/>
      <c r="B30" s="190"/>
      <c r="C30" s="190"/>
      <c r="D30" s="190"/>
      <c r="E30" s="190"/>
      <c r="F30" s="190"/>
      <c r="G30" s="190"/>
      <c r="H30" s="190"/>
      <c r="I30" s="190"/>
    </row>
    <row r="31" spans="1:9" ht="13" x14ac:dyDescent="0.3">
      <c r="A31" s="190"/>
      <c r="B31" s="190"/>
      <c r="C31" s="190"/>
      <c r="D31" s="190"/>
      <c r="E31" s="190"/>
      <c r="F31" s="190"/>
      <c r="G31" s="190"/>
      <c r="H31" s="190"/>
      <c r="I31" s="190"/>
    </row>
    <row r="32" spans="1:9" ht="13" x14ac:dyDescent="0.3">
      <c r="A32" s="190"/>
      <c r="B32" s="190"/>
      <c r="C32" s="190"/>
      <c r="D32" s="190"/>
      <c r="E32" s="190"/>
      <c r="F32" s="190"/>
      <c r="G32" s="190"/>
      <c r="H32" s="190"/>
      <c r="I32" s="190"/>
    </row>
    <row r="33" spans="1:9" ht="13" x14ac:dyDescent="0.3">
      <c r="A33" s="190"/>
      <c r="B33" s="190"/>
      <c r="C33" s="190"/>
      <c r="D33" s="190"/>
      <c r="E33" s="190"/>
      <c r="F33" s="190"/>
      <c r="G33" s="190"/>
      <c r="H33" s="190"/>
      <c r="I33" s="190"/>
    </row>
    <row r="34" spans="1:9" ht="13" x14ac:dyDescent="0.3">
      <c r="A34" s="190"/>
      <c r="B34" s="190"/>
      <c r="C34" s="190"/>
      <c r="D34" s="190"/>
      <c r="E34" s="190"/>
      <c r="F34" s="190"/>
      <c r="G34" s="190"/>
      <c r="H34" s="190"/>
      <c r="I34" s="190"/>
    </row>
    <row r="35" spans="1:9" ht="13" x14ac:dyDescent="0.3">
      <c r="A35" s="190"/>
      <c r="B35" s="190"/>
      <c r="C35" s="190"/>
      <c r="D35" s="190"/>
      <c r="E35" s="190"/>
      <c r="F35" s="190"/>
      <c r="G35" s="190"/>
      <c r="H35" s="190"/>
      <c r="I35" s="190"/>
    </row>
    <row r="36" spans="1:9" ht="13" x14ac:dyDescent="0.3">
      <c r="A36" s="190"/>
      <c r="B36" s="190"/>
      <c r="C36" s="190"/>
      <c r="D36" s="190"/>
      <c r="E36" s="190"/>
      <c r="F36" s="190"/>
      <c r="G36" s="190"/>
      <c r="H36" s="190"/>
      <c r="I36" s="190"/>
    </row>
    <row r="37" spans="1:9" ht="13" x14ac:dyDescent="0.3">
      <c r="A37" s="190"/>
      <c r="B37" s="190"/>
      <c r="C37" s="190"/>
      <c r="D37" s="190"/>
      <c r="E37" s="190"/>
      <c r="F37" s="190"/>
      <c r="G37" s="190"/>
      <c r="H37" s="190"/>
      <c r="I37" s="190"/>
    </row>
    <row r="38" spans="1:9" ht="13" x14ac:dyDescent="0.3">
      <c r="A38" s="190"/>
      <c r="B38" s="190"/>
      <c r="C38" s="190"/>
      <c r="D38" s="190"/>
      <c r="E38" s="190"/>
      <c r="F38" s="190"/>
      <c r="G38" s="190"/>
      <c r="H38" s="190"/>
      <c r="I38" s="190"/>
    </row>
    <row r="39" spans="1:9" ht="13" x14ac:dyDescent="0.3">
      <c r="A39" s="190"/>
      <c r="B39" s="190"/>
      <c r="C39" s="190"/>
      <c r="D39" s="190"/>
      <c r="E39" s="190"/>
      <c r="F39" s="190"/>
      <c r="G39" s="190"/>
      <c r="H39" s="190"/>
      <c r="I39" s="190"/>
    </row>
    <row r="40" spans="1:9" ht="13" x14ac:dyDescent="0.3">
      <c r="A40" s="190"/>
      <c r="B40" s="190"/>
      <c r="C40" s="190"/>
      <c r="D40" s="190"/>
      <c r="E40" s="190"/>
      <c r="F40" s="190"/>
      <c r="G40" s="190"/>
      <c r="H40" s="190"/>
      <c r="I40" s="190"/>
    </row>
    <row r="41" spans="1:9" ht="13" x14ac:dyDescent="0.3">
      <c r="A41" s="190"/>
      <c r="B41" s="190"/>
      <c r="C41" s="190"/>
      <c r="D41" s="190"/>
      <c r="E41" s="190"/>
      <c r="F41" s="190"/>
      <c r="G41" s="190"/>
      <c r="H41" s="190"/>
      <c r="I41" s="190"/>
    </row>
    <row r="42" spans="1:9" ht="14" x14ac:dyDescent="0.3">
      <c r="A42" s="190"/>
      <c r="B42" s="190"/>
      <c r="C42" s="190"/>
      <c r="E42" s="191" t="s">
        <v>569</v>
      </c>
      <c r="F42" s="190"/>
      <c r="G42" s="190"/>
      <c r="H42" s="190"/>
      <c r="I42" s="190"/>
    </row>
    <row r="43" spans="1:9" ht="13" x14ac:dyDescent="0.3">
      <c r="A43" s="190"/>
      <c r="B43" s="190"/>
      <c r="C43" s="190"/>
      <c r="D43" s="190"/>
      <c r="E43" s="190"/>
      <c r="F43" s="190"/>
      <c r="G43" s="190"/>
      <c r="H43" s="190"/>
      <c r="I43" s="190"/>
    </row>
    <row r="44" spans="1:9" ht="13" x14ac:dyDescent="0.3">
      <c r="A44" s="190"/>
      <c r="B44" s="190"/>
      <c r="C44" s="190"/>
      <c r="D44" s="190"/>
      <c r="E44" s="190"/>
      <c r="F44" s="190"/>
      <c r="G44" s="190"/>
      <c r="H44" s="190"/>
      <c r="I44" s="190"/>
    </row>
    <row r="45" spans="1:9" ht="13" x14ac:dyDescent="0.3">
      <c r="A45" s="190"/>
      <c r="B45" s="190"/>
      <c r="C45" s="190"/>
      <c r="D45" s="190"/>
      <c r="E45" s="190"/>
      <c r="F45" s="190"/>
      <c r="G45" s="190"/>
      <c r="H45" s="190"/>
      <c r="I45" s="190"/>
    </row>
  </sheetData>
  <sheetProtection algorithmName="SHA-512" hashValue="uXnxx5tbHm/YY9aUQnYFevZqsadVecCGHeEvnUDsNAhsO/2PbdIBDWhWuDSvIuCWWEvxCwG/+HjcwHKq5tsbag==" saltValue="oqHATg5TZjFqavVIfGqe4A==" spinCount="100000" sheet="1" selectLockedCells="1"/>
  <customSheetViews>
    <customSheetView guid="{0CFDFAE3-BA5A-49B1-8AEF-ACE06B5A41A2}">
      <pageMargins left="0.75" right="0.75" top="1" bottom="1" header="0.5" footer="0.5"/>
      <printOptions horizontalCentered="1"/>
      <pageSetup orientation="portrait" r:id="rId1"/>
      <headerFooter alignWithMargins="0"/>
    </customSheetView>
  </customSheetViews>
  <mergeCells count="3">
    <mergeCell ref="A6:I6"/>
    <mergeCell ref="A8:I8"/>
    <mergeCell ref="A10:I10"/>
  </mergeCells>
  <phoneticPr fontId="0" type="noConversion"/>
  <printOptions horizontalCentered="1"/>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08"/>
  <sheetViews>
    <sheetView tabSelected="1" zoomScaleNormal="100" zoomScaleSheetLayoutView="100" workbookViewId="0">
      <selection activeCell="B16" sqref="B16"/>
    </sheetView>
  </sheetViews>
  <sheetFormatPr defaultColWidth="9.08984375" defaultRowHeight="12.5" x14ac:dyDescent="0.25"/>
  <cols>
    <col min="1" max="1" width="47.6328125" customWidth="1"/>
    <col min="2" max="2" width="11.453125" style="172" customWidth="1"/>
    <col min="3" max="3" width="12.08984375" style="174" customWidth="1"/>
    <col min="4" max="4" width="19.54296875" style="174" hidden="1" customWidth="1"/>
    <col min="5" max="5" width="8.36328125" style="174" customWidth="1"/>
    <col min="6" max="6" width="15.08984375" customWidth="1"/>
    <col min="7" max="7" width="20.36328125" hidden="1" customWidth="1"/>
    <col min="8" max="8" width="14.08984375" customWidth="1"/>
    <col min="9" max="9" width="11.36328125" hidden="1" customWidth="1"/>
    <col min="10" max="10" width="11.6328125" customWidth="1"/>
    <col min="11" max="13" width="11.36328125" bestFit="1" customWidth="1"/>
  </cols>
  <sheetData>
    <row r="1" spans="1:13" ht="13" x14ac:dyDescent="0.3">
      <c r="A1" s="2"/>
      <c r="B1" s="99"/>
      <c r="C1" s="100"/>
      <c r="D1" s="100"/>
      <c r="E1" s="100"/>
      <c r="F1" s="2"/>
      <c r="G1" s="2"/>
      <c r="H1" s="2"/>
      <c r="I1" s="2"/>
      <c r="J1" s="2"/>
    </row>
    <row r="2" spans="1:13" x14ac:dyDescent="0.25">
      <c r="A2" s="2"/>
      <c r="B2" s="101"/>
      <c r="C2" s="100"/>
      <c r="D2" s="100"/>
      <c r="E2" s="100"/>
      <c r="F2" s="2"/>
      <c r="G2" s="2"/>
      <c r="H2" s="2"/>
      <c r="I2" s="2"/>
      <c r="J2" s="2"/>
    </row>
    <row r="3" spans="1:13" x14ac:dyDescent="0.25">
      <c r="A3" s="2"/>
      <c r="B3" s="101"/>
      <c r="C3" s="100"/>
      <c r="D3" s="100"/>
      <c r="E3" s="100"/>
      <c r="F3" s="2"/>
      <c r="G3" s="2"/>
      <c r="H3" s="2"/>
      <c r="I3" s="2"/>
      <c r="J3" s="2"/>
    </row>
    <row r="4" spans="1:13" x14ac:dyDescent="0.25">
      <c r="A4" s="2"/>
      <c r="B4" s="101"/>
      <c r="C4" s="100"/>
      <c r="D4" s="100"/>
      <c r="E4" s="100"/>
      <c r="F4" s="2"/>
      <c r="G4" s="2"/>
      <c r="H4" s="2"/>
      <c r="I4" s="2"/>
      <c r="J4" s="2"/>
    </row>
    <row r="5" spans="1:13" x14ac:dyDescent="0.25">
      <c r="A5" s="2"/>
      <c r="B5" s="101"/>
      <c r="C5" s="100"/>
      <c r="D5" s="100"/>
      <c r="E5" s="100"/>
      <c r="F5" s="2"/>
      <c r="G5" s="2"/>
      <c r="H5" s="2"/>
      <c r="I5" s="2"/>
      <c r="J5" s="2"/>
    </row>
    <row r="6" spans="1:13" x14ac:dyDescent="0.25">
      <c r="A6" s="2"/>
      <c r="B6" s="101"/>
      <c r="C6" s="100"/>
      <c r="D6" s="100"/>
      <c r="E6" s="100"/>
      <c r="F6" s="2"/>
      <c r="G6" s="2"/>
      <c r="H6" s="2"/>
      <c r="I6" s="2"/>
      <c r="J6" s="2"/>
    </row>
    <row r="7" spans="1:13" x14ac:dyDescent="0.25">
      <c r="A7" s="2"/>
      <c r="B7" s="101"/>
      <c r="C7" s="100"/>
      <c r="D7" s="100"/>
      <c r="E7" s="100"/>
      <c r="F7" s="2"/>
      <c r="G7" s="2"/>
      <c r="H7" s="2"/>
      <c r="I7" s="2"/>
      <c r="J7" s="2"/>
    </row>
    <row r="8" spans="1:13" x14ac:dyDescent="0.25">
      <c r="A8" s="2"/>
      <c r="B8" s="101"/>
      <c r="C8" s="100"/>
      <c r="D8" s="100"/>
      <c r="E8" s="100"/>
      <c r="F8" s="2"/>
      <c r="G8" s="2"/>
      <c r="H8" s="2"/>
      <c r="I8" s="2"/>
      <c r="J8" s="2"/>
    </row>
    <row r="9" spans="1:13" x14ac:dyDescent="0.25">
      <c r="A9" s="2"/>
      <c r="B9" s="101"/>
      <c r="C9" s="100"/>
      <c r="D9" s="100"/>
      <c r="E9" s="100"/>
      <c r="F9" s="2"/>
      <c r="G9" s="2"/>
      <c r="H9" s="2"/>
      <c r="I9" s="2"/>
      <c r="J9" s="2"/>
    </row>
    <row r="10" spans="1:13" x14ac:dyDescent="0.25">
      <c r="A10" s="2"/>
      <c r="B10" s="101"/>
      <c r="C10" s="100"/>
      <c r="D10" s="100"/>
      <c r="E10" s="100"/>
      <c r="F10" s="2"/>
      <c r="G10" s="2"/>
      <c r="H10" s="2"/>
      <c r="I10" s="2"/>
      <c r="J10" s="2"/>
    </row>
    <row r="11" spans="1:13" ht="13" thickBot="1" x14ac:dyDescent="0.3">
      <c r="A11" s="2"/>
      <c r="B11" s="101"/>
      <c r="C11" s="100"/>
      <c r="D11" s="100"/>
      <c r="E11" s="100"/>
      <c r="F11" s="2"/>
      <c r="G11" s="2"/>
      <c r="H11" s="2"/>
      <c r="I11" s="2"/>
      <c r="J11" s="2"/>
    </row>
    <row r="12" spans="1:13" ht="13.5" thickBot="1" x14ac:dyDescent="0.35">
      <c r="A12" s="479" t="s">
        <v>429</v>
      </c>
      <c r="B12" s="480"/>
      <c r="C12" s="480"/>
      <c r="D12" s="480"/>
      <c r="E12" s="480"/>
      <c r="F12" s="480"/>
      <c r="G12" s="480"/>
      <c r="H12" s="481"/>
      <c r="I12" s="2"/>
      <c r="J12" s="2"/>
    </row>
    <row r="13" spans="1:13" ht="13.5" thickBot="1" x14ac:dyDescent="0.35">
      <c r="A13" s="196" t="s">
        <v>0</v>
      </c>
      <c r="B13" s="197" t="s">
        <v>1</v>
      </c>
      <c r="C13" s="482" t="s">
        <v>2</v>
      </c>
      <c r="D13" s="483"/>
      <c r="E13" s="483"/>
      <c r="F13" s="484"/>
      <c r="G13" s="198"/>
      <c r="H13" s="196" t="s">
        <v>3</v>
      </c>
      <c r="I13" s="2"/>
      <c r="J13" s="2"/>
    </row>
    <row r="14" spans="1:13" x14ac:dyDescent="0.25">
      <c r="A14" s="104"/>
      <c r="B14" s="105"/>
      <c r="C14" s="485" t="s">
        <v>63</v>
      </c>
      <c r="D14" s="486"/>
      <c r="E14" s="487"/>
      <c r="F14" s="80" t="s">
        <v>62</v>
      </c>
      <c r="G14" s="146"/>
      <c r="H14" s="106"/>
      <c r="I14" s="2"/>
      <c r="J14" s="2"/>
    </row>
    <row r="15" spans="1:13" ht="13" x14ac:dyDescent="0.3">
      <c r="A15" s="199" t="s">
        <v>4</v>
      </c>
      <c r="B15" s="108"/>
      <c r="C15" s="109"/>
      <c r="D15" s="200" t="s">
        <v>497</v>
      </c>
      <c r="E15" s="111"/>
      <c r="F15" s="111"/>
      <c r="G15" s="200" t="s">
        <v>497</v>
      </c>
      <c r="H15" s="51"/>
      <c r="I15" s="2"/>
      <c r="J15" s="2"/>
    </row>
    <row r="16" spans="1:13" x14ac:dyDescent="0.25">
      <c r="A16" s="107" t="s">
        <v>303</v>
      </c>
      <c r="B16" s="3"/>
      <c r="C16" s="53">
        <f>ROUND(CPI*D16,2)</f>
        <v>1.04</v>
      </c>
      <c r="D16" s="200">
        <v>0.73</v>
      </c>
      <c r="E16" s="111" t="s">
        <v>60</v>
      </c>
      <c r="F16" s="53">
        <f>ROUND(CPI*G16,2)</f>
        <v>1.52</v>
      </c>
      <c r="G16" s="200">
        <v>1.06</v>
      </c>
      <c r="H16" s="81">
        <f t="shared" ref="H16:H23" si="0">IF($B$141="Yes",B16*F16,B16*C16)</f>
        <v>0</v>
      </c>
      <c r="I16" s="130"/>
      <c r="J16" s="130"/>
      <c r="K16" s="138"/>
      <c r="L16" s="130"/>
      <c r="M16" s="138"/>
    </row>
    <row r="17" spans="1:25" x14ac:dyDescent="0.25">
      <c r="A17" s="107" t="s">
        <v>304</v>
      </c>
      <c r="B17" s="3"/>
      <c r="C17" s="53">
        <f t="shared" ref="C17:C22" si="1">ROUND(CPI*D17,2)</f>
        <v>1.55</v>
      </c>
      <c r="D17" s="200">
        <v>1.08</v>
      </c>
      <c r="E17" s="111" t="s">
        <v>60</v>
      </c>
      <c r="F17" s="53">
        <f t="shared" ref="F17:F22" si="2">ROUND(CPI*G17,2)</f>
        <v>1.95</v>
      </c>
      <c r="G17" s="200">
        <v>1.36</v>
      </c>
      <c r="H17" s="81">
        <f t="shared" si="0"/>
        <v>0</v>
      </c>
      <c r="I17" s="130"/>
      <c r="J17" s="130"/>
      <c r="K17" s="138"/>
      <c r="L17" s="130"/>
      <c r="M17" s="138"/>
    </row>
    <row r="18" spans="1:25" x14ac:dyDescent="0.25">
      <c r="A18" s="107" t="s">
        <v>305</v>
      </c>
      <c r="B18" s="3"/>
      <c r="C18" s="53">
        <f t="shared" si="1"/>
        <v>1.99</v>
      </c>
      <c r="D18" s="200">
        <v>1.39</v>
      </c>
      <c r="E18" s="111" t="s">
        <v>60</v>
      </c>
      <c r="F18" s="53">
        <f t="shared" si="2"/>
        <v>2.39</v>
      </c>
      <c r="G18" s="200">
        <v>1.67</v>
      </c>
      <c r="H18" s="81">
        <f t="shared" si="0"/>
        <v>0</v>
      </c>
      <c r="I18" s="130"/>
      <c r="J18" s="130"/>
      <c r="K18" s="138"/>
      <c r="L18" s="130"/>
      <c r="M18" s="138"/>
    </row>
    <row r="19" spans="1:25" x14ac:dyDescent="0.25">
      <c r="A19" s="107" t="s">
        <v>306</v>
      </c>
      <c r="B19" s="3"/>
      <c r="C19" s="53">
        <f t="shared" si="1"/>
        <v>2.66</v>
      </c>
      <c r="D19" s="200">
        <v>1.86</v>
      </c>
      <c r="E19" s="111" t="s">
        <v>60</v>
      </c>
      <c r="F19" s="53">
        <f t="shared" si="2"/>
        <v>3.25</v>
      </c>
      <c r="G19" s="200">
        <v>2.27</v>
      </c>
      <c r="H19" s="81">
        <f t="shared" si="0"/>
        <v>0</v>
      </c>
      <c r="I19" s="130"/>
      <c r="J19" s="130"/>
      <c r="K19" s="138"/>
      <c r="L19" s="130"/>
      <c r="M19" s="138"/>
    </row>
    <row r="20" spans="1:25" x14ac:dyDescent="0.25">
      <c r="A20" s="107" t="s">
        <v>91</v>
      </c>
      <c r="B20" s="3"/>
      <c r="C20" s="53">
        <f t="shared" si="1"/>
        <v>3.98</v>
      </c>
      <c r="D20" s="200">
        <v>2.78</v>
      </c>
      <c r="E20" s="111" t="s">
        <v>60</v>
      </c>
      <c r="F20" s="53">
        <f t="shared" si="2"/>
        <v>5.17</v>
      </c>
      <c r="G20" s="200">
        <v>3.61</v>
      </c>
      <c r="H20" s="81">
        <f t="shared" si="0"/>
        <v>0</v>
      </c>
      <c r="I20" s="130"/>
      <c r="J20" s="130"/>
      <c r="K20" s="138"/>
      <c r="L20" s="130"/>
      <c r="M20" s="138"/>
    </row>
    <row r="21" spans="1:25" x14ac:dyDescent="0.25">
      <c r="A21" s="107" t="s">
        <v>87</v>
      </c>
      <c r="B21" s="3"/>
      <c r="C21" s="53">
        <f t="shared" si="1"/>
        <v>3.18</v>
      </c>
      <c r="D21" s="200">
        <v>2.2200000000000002</v>
      </c>
      <c r="E21" s="111" t="s">
        <v>60</v>
      </c>
      <c r="F21" s="53">
        <f t="shared" si="2"/>
        <v>4.4400000000000004</v>
      </c>
      <c r="G21" s="200">
        <v>3.1</v>
      </c>
      <c r="H21" s="81">
        <f t="shared" si="0"/>
        <v>0</v>
      </c>
      <c r="I21" s="130"/>
      <c r="J21" s="130"/>
      <c r="K21" s="138"/>
      <c r="L21" s="130"/>
      <c r="M21" s="138"/>
    </row>
    <row r="22" spans="1:25" x14ac:dyDescent="0.25">
      <c r="A22" s="107" t="s">
        <v>90</v>
      </c>
      <c r="B22" s="3"/>
      <c r="C22" s="53">
        <f t="shared" si="1"/>
        <v>1.1200000000000001</v>
      </c>
      <c r="D22" s="200">
        <v>0.78</v>
      </c>
      <c r="E22" s="111" t="s">
        <v>60</v>
      </c>
      <c r="F22" s="53">
        <f t="shared" si="2"/>
        <v>1.9</v>
      </c>
      <c r="G22" s="200">
        <v>1.33</v>
      </c>
      <c r="H22" s="81">
        <f t="shared" si="0"/>
        <v>0</v>
      </c>
      <c r="I22" s="130"/>
      <c r="J22" s="130"/>
      <c r="K22" s="138"/>
      <c r="L22" s="130"/>
      <c r="M22" s="138"/>
    </row>
    <row r="23" spans="1:25" x14ac:dyDescent="0.25">
      <c r="A23" s="22"/>
      <c r="B23" s="3"/>
      <c r="C23" s="45">
        <v>0</v>
      </c>
      <c r="D23" s="200"/>
      <c r="E23" s="111" t="s">
        <v>60</v>
      </c>
      <c r="F23" s="53">
        <v>0</v>
      </c>
      <c r="G23" s="200"/>
      <c r="H23" s="81">
        <f t="shared" si="0"/>
        <v>0</v>
      </c>
      <c r="I23" s="130"/>
      <c r="J23" s="130"/>
      <c r="K23" s="138"/>
      <c r="L23" s="130"/>
      <c r="M23" s="138"/>
    </row>
    <row r="24" spans="1:25" x14ac:dyDescent="0.25">
      <c r="A24" s="201"/>
      <c r="B24" s="202"/>
      <c r="C24" s="138"/>
      <c r="D24" s="203"/>
      <c r="E24" s="2"/>
      <c r="F24" s="2"/>
      <c r="G24" s="36"/>
      <c r="H24" s="204"/>
      <c r="I24" s="130"/>
      <c r="J24" s="130"/>
      <c r="K24" s="138"/>
      <c r="L24" s="130"/>
      <c r="M24" s="2"/>
    </row>
    <row r="25" spans="1:25" ht="13" x14ac:dyDescent="0.3">
      <c r="A25" s="199" t="s">
        <v>9</v>
      </c>
      <c r="B25" s="202"/>
      <c r="C25" s="138"/>
      <c r="D25" s="203"/>
      <c r="E25" s="2"/>
      <c r="F25" s="2"/>
      <c r="G25" s="36"/>
      <c r="H25" s="204"/>
      <c r="I25" s="130"/>
      <c r="J25" s="130"/>
      <c r="K25" s="138"/>
      <c r="L25" s="130"/>
      <c r="M25" s="2"/>
    </row>
    <row r="26" spans="1:25" x14ac:dyDescent="0.25">
      <c r="A26" s="107" t="s">
        <v>10</v>
      </c>
      <c r="B26" s="3"/>
      <c r="C26" s="53">
        <f t="shared" ref="C26:C37" si="3">ROUND(CPI*D26,2)</f>
        <v>5.55</v>
      </c>
      <c r="D26" s="200">
        <v>3.88</v>
      </c>
      <c r="E26" s="111" t="s">
        <v>60</v>
      </c>
      <c r="F26" s="53">
        <f t="shared" ref="F26:F37" si="4">ROUND(CPI*G26,2)</f>
        <v>6.26</v>
      </c>
      <c r="G26" s="200">
        <v>4.37</v>
      </c>
      <c r="H26" s="81">
        <f t="shared" ref="H26:H38" si="5">IF($B$141="Yes",B26*F26,B26*C26)</f>
        <v>0</v>
      </c>
      <c r="I26" s="130"/>
      <c r="J26" s="130"/>
      <c r="K26" s="138"/>
      <c r="L26" s="130"/>
      <c r="M26" s="138"/>
    </row>
    <row r="27" spans="1:25" x14ac:dyDescent="0.25">
      <c r="A27" s="107" t="s">
        <v>11</v>
      </c>
      <c r="B27" s="3"/>
      <c r="C27" s="53">
        <f t="shared" si="3"/>
        <v>5.87</v>
      </c>
      <c r="D27" s="200">
        <v>4.0999999999999996</v>
      </c>
      <c r="E27" s="111" t="s">
        <v>60</v>
      </c>
      <c r="F27" s="53">
        <f t="shared" si="4"/>
        <v>6.71</v>
      </c>
      <c r="G27" s="200">
        <v>4.6900000000000004</v>
      </c>
      <c r="H27" s="81">
        <f t="shared" si="5"/>
        <v>0</v>
      </c>
      <c r="I27" s="130"/>
      <c r="J27" s="130"/>
      <c r="K27" s="138"/>
      <c r="L27" s="130"/>
      <c r="M27" s="138"/>
    </row>
    <row r="28" spans="1:25" x14ac:dyDescent="0.25">
      <c r="A28" s="107" t="s">
        <v>12</v>
      </c>
      <c r="B28" s="3"/>
      <c r="C28" s="53">
        <f t="shared" si="3"/>
        <v>7.49</v>
      </c>
      <c r="D28" s="200">
        <v>5.23</v>
      </c>
      <c r="E28" s="111" t="s">
        <v>60</v>
      </c>
      <c r="F28" s="53">
        <f t="shared" si="4"/>
        <v>8.49</v>
      </c>
      <c r="G28" s="200">
        <v>5.93</v>
      </c>
      <c r="H28" s="81">
        <f t="shared" si="5"/>
        <v>0</v>
      </c>
      <c r="I28" s="130"/>
      <c r="J28" s="130"/>
      <c r="K28" s="138"/>
      <c r="L28" s="130"/>
      <c r="M28" s="138"/>
      <c r="N28" s="116"/>
      <c r="Q28" s="116"/>
      <c r="T28" s="116"/>
      <c r="W28" s="116"/>
    </row>
    <row r="29" spans="1:25" x14ac:dyDescent="0.25">
      <c r="A29" s="107" t="s">
        <v>14</v>
      </c>
      <c r="B29" s="3"/>
      <c r="C29" s="53">
        <f t="shared" si="3"/>
        <v>5.8</v>
      </c>
      <c r="D29" s="200">
        <v>4.05</v>
      </c>
      <c r="E29" s="111" t="s">
        <v>60</v>
      </c>
      <c r="F29" s="53">
        <f t="shared" si="4"/>
        <v>6.71</v>
      </c>
      <c r="G29" s="200">
        <v>4.6900000000000004</v>
      </c>
      <c r="H29" s="81">
        <f t="shared" si="5"/>
        <v>0</v>
      </c>
      <c r="I29" s="130"/>
      <c r="J29" s="130"/>
      <c r="K29" s="138"/>
      <c r="L29" s="130"/>
      <c r="M29" s="138"/>
      <c r="N29" s="118"/>
      <c r="O29" s="118"/>
      <c r="P29" s="118"/>
      <c r="Q29" s="118"/>
      <c r="R29" s="118"/>
      <c r="S29" s="118"/>
      <c r="T29" s="118"/>
      <c r="U29" s="118"/>
      <c r="V29" s="118"/>
      <c r="W29" s="118"/>
      <c r="X29" s="118"/>
      <c r="Y29" s="118"/>
    </row>
    <row r="30" spans="1:25" x14ac:dyDescent="0.25">
      <c r="A30" s="107" t="s">
        <v>13</v>
      </c>
      <c r="B30" s="3"/>
      <c r="C30" s="53">
        <f t="shared" si="3"/>
        <v>4.78</v>
      </c>
      <c r="D30" s="200">
        <v>3.34</v>
      </c>
      <c r="E30" s="111" t="s">
        <v>60</v>
      </c>
      <c r="F30" s="53">
        <f t="shared" si="4"/>
        <v>6.1</v>
      </c>
      <c r="G30" s="200">
        <v>4.26</v>
      </c>
      <c r="H30" s="81">
        <f t="shared" si="5"/>
        <v>0</v>
      </c>
      <c r="I30" s="130"/>
      <c r="J30" s="130"/>
      <c r="K30" s="138"/>
      <c r="L30" s="130"/>
      <c r="M30" s="138"/>
    </row>
    <row r="31" spans="1:25" x14ac:dyDescent="0.25">
      <c r="A31" s="107" t="s">
        <v>307</v>
      </c>
      <c r="B31" s="3"/>
      <c r="C31" s="53">
        <f t="shared" si="3"/>
        <v>5.87</v>
      </c>
      <c r="D31" s="200">
        <v>4.0999999999999996</v>
      </c>
      <c r="E31" s="111" t="s">
        <v>60</v>
      </c>
      <c r="F31" s="53">
        <f t="shared" si="4"/>
        <v>6.71</v>
      </c>
      <c r="G31" s="200">
        <v>4.6900000000000004</v>
      </c>
      <c r="H31" s="81">
        <f t="shared" si="5"/>
        <v>0</v>
      </c>
      <c r="I31" s="130"/>
      <c r="J31" s="130"/>
      <c r="K31" s="138"/>
      <c r="L31" s="130"/>
      <c r="M31" s="138"/>
    </row>
    <row r="32" spans="1:25" x14ac:dyDescent="0.25">
      <c r="A32" s="107" t="s">
        <v>308</v>
      </c>
      <c r="B32" s="3"/>
      <c r="C32" s="53">
        <f t="shared" si="3"/>
        <v>2415.31</v>
      </c>
      <c r="D32" s="200">
        <v>1687.39</v>
      </c>
      <c r="E32" s="111" t="s">
        <v>57</v>
      </c>
      <c r="F32" s="53">
        <f t="shared" si="4"/>
        <v>3017.05</v>
      </c>
      <c r="G32" s="53">
        <v>2107.7800000000002</v>
      </c>
      <c r="H32" s="81">
        <f t="shared" si="5"/>
        <v>0</v>
      </c>
      <c r="I32" s="130"/>
      <c r="J32" s="130"/>
      <c r="K32" s="138"/>
      <c r="L32" s="130"/>
      <c r="M32" s="138"/>
    </row>
    <row r="33" spans="1:13" x14ac:dyDescent="0.25">
      <c r="A33" s="107" t="s">
        <v>78</v>
      </c>
      <c r="B33" s="3"/>
      <c r="C33" s="53">
        <f t="shared" si="3"/>
        <v>8.1</v>
      </c>
      <c r="D33" s="200">
        <v>5.66</v>
      </c>
      <c r="E33" s="111" t="s">
        <v>60</v>
      </c>
      <c r="F33" s="53">
        <f t="shared" si="4"/>
        <v>9.1</v>
      </c>
      <c r="G33" s="200">
        <v>6.36</v>
      </c>
      <c r="H33" s="81">
        <f t="shared" si="5"/>
        <v>0</v>
      </c>
      <c r="I33" s="130"/>
      <c r="J33" s="130"/>
      <c r="K33" s="138"/>
      <c r="L33" s="130"/>
      <c r="M33" s="138"/>
    </row>
    <row r="34" spans="1:13" x14ac:dyDescent="0.25">
      <c r="A34" s="107" t="s">
        <v>16</v>
      </c>
      <c r="B34" s="3"/>
      <c r="C34" s="53">
        <f t="shared" si="3"/>
        <v>12.73</v>
      </c>
      <c r="D34" s="200">
        <v>8.89</v>
      </c>
      <c r="E34" s="111" t="s">
        <v>60</v>
      </c>
      <c r="F34" s="53">
        <f t="shared" si="4"/>
        <v>21.44</v>
      </c>
      <c r="G34" s="200">
        <v>14.98</v>
      </c>
      <c r="H34" s="81">
        <f t="shared" si="5"/>
        <v>0</v>
      </c>
      <c r="I34" s="130"/>
      <c r="J34" s="130"/>
      <c r="K34" s="138"/>
      <c r="L34" s="130"/>
      <c r="M34" s="138"/>
    </row>
    <row r="35" spans="1:13" x14ac:dyDescent="0.25">
      <c r="A35" s="107" t="s">
        <v>17</v>
      </c>
      <c r="B35" s="3"/>
      <c r="C35" s="53">
        <f t="shared" si="3"/>
        <v>14.34</v>
      </c>
      <c r="D35" s="200">
        <v>10.02</v>
      </c>
      <c r="E35" s="111" t="s">
        <v>60</v>
      </c>
      <c r="F35" s="53">
        <f t="shared" si="4"/>
        <v>24.61</v>
      </c>
      <c r="G35" s="200">
        <v>17.190000000000001</v>
      </c>
      <c r="H35" s="81">
        <f t="shared" si="5"/>
        <v>0</v>
      </c>
      <c r="I35" s="130"/>
      <c r="J35" s="130"/>
      <c r="K35" s="138"/>
      <c r="L35" s="130"/>
      <c r="M35" s="138"/>
    </row>
    <row r="36" spans="1:13" x14ac:dyDescent="0.25">
      <c r="A36" s="107" t="s">
        <v>18</v>
      </c>
      <c r="B36" s="3"/>
      <c r="C36" s="53">
        <f t="shared" si="3"/>
        <v>5.55</v>
      </c>
      <c r="D36" s="200">
        <v>3.88</v>
      </c>
      <c r="E36" s="111" t="s">
        <v>60</v>
      </c>
      <c r="F36" s="53">
        <f t="shared" si="4"/>
        <v>6.41</v>
      </c>
      <c r="G36" s="200">
        <v>4.4800000000000004</v>
      </c>
      <c r="H36" s="81">
        <f t="shared" si="5"/>
        <v>0</v>
      </c>
      <c r="I36" s="130"/>
      <c r="J36" s="130"/>
      <c r="K36" s="138"/>
      <c r="L36" s="130"/>
      <c r="M36" s="138"/>
    </row>
    <row r="37" spans="1:13" x14ac:dyDescent="0.25">
      <c r="A37" s="121" t="s">
        <v>19</v>
      </c>
      <c r="B37" s="4"/>
      <c r="C37" s="53">
        <f t="shared" si="3"/>
        <v>953.73</v>
      </c>
      <c r="D37" s="205">
        <v>666.3</v>
      </c>
      <c r="E37" s="123" t="s">
        <v>61</v>
      </c>
      <c r="F37" s="53">
        <f t="shared" si="4"/>
        <v>1080.27</v>
      </c>
      <c r="G37" s="205">
        <v>754.7</v>
      </c>
      <c r="H37" s="86">
        <f t="shared" si="5"/>
        <v>0</v>
      </c>
      <c r="I37" s="130"/>
      <c r="J37" s="130"/>
      <c r="K37" s="138"/>
      <c r="L37" s="130"/>
      <c r="M37" s="138"/>
    </row>
    <row r="38" spans="1:13" x14ac:dyDescent="0.25">
      <c r="A38" s="22"/>
      <c r="B38" s="3"/>
      <c r="C38" s="45">
        <v>0</v>
      </c>
      <c r="D38" s="200"/>
      <c r="E38" s="123" t="s">
        <v>61</v>
      </c>
      <c r="F38" s="53">
        <v>0</v>
      </c>
      <c r="G38" s="200"/>
      <c r="H38" s="81">
        <f t="shared" si="5"/>
        <v>0</v>
      </c>
      <c r="I38" s="130"/>
      <c r="J38" s="130"/>
      <c r="K38" s="138"/>
      <c r="L38" s="130"/>
      <c r="M38" s="138"/>
    </row>
    <row r="39" spans="1:13" x14ac:dyDescent="0.25">
      <c r="A39" s="206"/>
      <c r="B39" s="207"/>
      <c r="C39" s="136"/>
      <c r="D39" s="205"/>
      <c r="E39" s="122"/>
      <c r="F39" s="122"/>
      <c r="G39" s="37"/>
      <c r="H39" s="208"/>
      <c r="I39" s="130"/>
      <c r="J39" s="130"/>
      <c r="K39" s="138"/>
      <c r="L39" s="130"/>
      <c r="M39" s="2"/>
    </row>
    <row r="40" spans="1:13" ht="13" x14ac:dyDescent="0.3">
      <c r="A40" s="199" t="s">
        <v>20</v>
      </c>
      <c r="B40" s="209"/>
      <c r="C40" s="145"/>
      <c r="D40" s="210"/>
      <c r="E40" s="146"/>
      <c r="F40" s="146"/>
      <c r="G40" s="211"/>
      <c r="H40" s="212"/>
      <c r="I40" s="130"/>
      <c r="J40" s="130"/>
      <c r="K40" s="138"/>
      <c r="L40" s="130"/>
      <c r="M40" s="2"/>
    </row>
    <row r="41" spans="1:13" x14ac:dyDescent="0.25">
      <c r="A41" s="107" t="s">
        <v>309</v>
      </c>
      <c r="B41" s="5"/>
      <c r="C41" s="53">
        <f t="shared" ref="C41:C48" si="6">ROUND(CPI*D41,2)</f>
        <v>22.39</v>
      </c>
      <c r="D41" s="210">
        <v>15.64</v>
      </c>
      <c r="E41" s="147" t="s">
        <v>58</v>
      </c>
      <c r="F41" s="53">
        <f t="shared" ref="F41:F48" si="7">ROUND(CPI*G41,2)</f>
        <v>27.78</v>
      </c>
      <c r="G41" s="210">
        <v>19.41</v>
      </c>
      <c r="H41" s="87">
        <f t="shared" ref="H41:H49" si="8">IF($B$141="Yes",B41*F41,B41*C41)</f>
        <v>0</v>
      </c>
      <c r="I41" s="130"/>
      <c r="J41" s="130"/>
      <c r="K41" s="138"/>
      <c r="L41" s="130"/>
      <c r="M41" s="138"/>
    </row>
    <row r="42" spans="1:13" x14ac:dyDescent="0.25">
      <c r="A42" s="107" t="s">
        <v>310</v>
      </c>
      <c r="B42" s="3"/>
      <c r="C42" s="53">
        <f t="shared" si="6"/>
        <v>20.83</v>
      </c>
      <c r="D42" s="200">
        <v>14.55</v>
      </c>
      <c r="E42" s="111" t="s">
        <v>58</v>
      </c>
      <c r="F42" s="53">
        <f t="shared" si="7"/>
        <v>26.24</v>
      </c>
      <c r="G42" s="200">
        <v>18.329999999999998</v>
      </c>
      <c r="H42" s="81">
        <f t="shared" si="8"/>
        <v>0</v>
      </c>
      <c r="I42" s="130"/>
      <c r="J42" s="130"/>
      <c r="K42" s="138"/>
      <c r="L42" s="130"/>
      <c r="M42" s="138"/>
    </row>
    <row r="43" spans="1:13" x14ac:dyDescent="0.25">
      <c r="A43" s="107" t="s">
        <v>311</v>
      </c>
      <c r="B43" s="3"/>
      <c r="C43" s="53">
        <f t="shared" si="6"/>
        <v>22.39</v>
      </c>
      <c r="D43" s="200">
        <v>15.64</v>
      </c>
      <c r="E43" s="111" t="s">
        <v>58</v>
      </c>
      <c r="F43" s="53">
        <f t="shared" si="7"/>
        <v>27.78</v>
      </c>
      <c r="G43" s="200">
        <v>19.41</v>
      </c>
      <c r="H43" s="81">
        <f t="shared" si="8"/>
        <v>0</v>
      </c>
      <c r="I43" s="130"/>
      <c r="J43" s="130"/>
      <c r="K43" s="138"/>
      <c r="L43" s="130"/>
      <c r="M43" s="138"/>
    </row>
    <row r="44" spans="1:13" x14ac:dyDescent="0.25">
      <c r="A44" s="107" t="s">
        <v>312</v>
      </c>
      <c r="B44" s="3"/>
      <c r="C44" s="53">
        <f t="shared" si="6"/>
        <v>19.3</v>
      </c>
      <c r="D44" s="200">
        <v>13.48</v>
      </c>
      <c r="E44" s="111" t="s">
        <v>58</v>
      </c>
      <c r="F44" s="53">
        <f t="shared" si="7"/>
        <v>23.92</v>
      </c>
      <c r="G44" s="200">
        <v>16.71</v>
      </c>
      <c r="H44" s="81">
        <f t="shared" si="8"/>
        <v>0</v>
      </c>
      <c r="I44" s="130"/>
      <c r="J44" s="130"/>
      <c r="K44" s="138"/>
      <c r="L44" s="130"/>
      <c r="M44" s="138"/>
    </row>
    <row r="45" spans="1:13" x14ac:dyDescent="0.25">
      <c r="A45" s="107" t="s">
        <v>313</v>
      </c>
      <c r="B45" s="3"/>
      <c r="C45" s="53">
        <f t="shared" si="6"/>
        <v>20.83</v>
      </c>
      <c r="D45" s="200">
        <v>14.55</v>
      </c>
      <c r="E45" s="111" t="s">
        <v>58</v>
      </c>
      <c r="F45" s="53">
        <f t="shared" si="7"/>
        <v>26.24</v>
      </c>
      <c r="G45" s="200">
        <v>18.329999999999998</v>
      </c>
      <c r="H45" s="81">
        <f t="shared" si="8"/>
        <v>0</v>
      </c>
      <c r="I45" s="130"/>
      <c r="J45" s="130"/>
      <c r="K45" s="138"/>
      <c r="L45" s="130"/>
      <c r="M45" s="138"/>
    </row>
    <row r="46" spans="1:13" x14ac:dyDescent="0.25">
      <c r="A46" s="107" t="s">
        <v>86</v>
      </c>
      <c r="B46" s="3"/>
      <c r="C46" s="53">
        <f t="shared" si="6"/>
        <v>19.3</v>
      </c>
      <c r="D46" s="200">
        <v>13.48</v>
      </c>
      <c r="E46" s="111" t="s">
        <v>58</v>
      </c>
      <c r="F46" s="53">
        <f t="shared" si="7"/>
        <v>23.92</v>
      </c>
      <c r="G46" s="200">
        <v>16.71</v>
      </c>
      <c r="H46" s="81">
        <f t="shared" si="8"/>
        <v>0</v>
      </c>
      <c r="I46" s="130"/>
      <c r="J46" s="130"/>
      <c r="K46" s="138"/>
      <c r="L46" s="130"/>
      <c r="M46" s="138"/>
    </row>
    <row r="47" spans="1:13" x14ac:dyDescent="0.25">
      <c r="A47" s="107" t="s">
        <v>22</v>
      </c>
      <c r="B47" s="3"/>
      <c r="C47" s="53">
        <f t="shared" si="6"/>
        <v>19.3</v>
      </c>
      <c r="D47" s="200">
        <v>13.48</v>
      </c>
      <c r="E47" s="111" t="s">
        <v>58</v>
      </c>
      <c r="F47" s="53">
        <f t="shared" si="7"/>
        <v>23.92</v>
      </c>
      <c r="G47" s="200">
        <v>16.71</v>
      </c>
      <c r="H47" s="81">
        <f t="shared" si="8"/>
        <v>0</v>
      </c>
      <c r="I47" s="130"/>
      <c r="J47" s="130"/>
      <c r="K47" s="138"/>
      <c r="L47" s="130"/>
      <c r="M47" s="138"/>
    </row>
    <row r="48" spans="1:13" x14ac:dyDescent="0.25">
      <c r="A48" s="107" t="s">
        <v>23</v>
      </c>
      <c r="B48" s="3"/>
      <c r="C48" s="53">
        <f t="shared" si="6"/>
        <v>19.3</v>
      </c>
      <c r="D48" s="200">
        <v>13.48</v>
      </c>
      <c r="E48" s="111" t="s">
        <v>58</v>
      </c>
      <c r="F48" s="53">
        <f t="shared" si="7"/>
        <v>23.92</v>
      </c>
      <c r="G48" s="200">
        <v>16.71</v>
      </c>
      <c r="H48" s="81">
        <f t="shared" si="8"/>
        <v>0</v>
      </c>
      <c r="I48" s="130"/>
      <c r="J48" s="130"/>
      <c r="K48" s="138"/>
      <c r="L48" s="130"/>
      <c r="M48" s="138"/>
    </row>
    <row r="49" spans="1:13" x14ac:dyDescent="0.25">
      <c r="A49" s="22"/>
      <c r="B49" s="3"/>
      <c r="C49" s="45">
        <v>0</v>
      </c>
      <c r="D49" s="200"/>
      <c r="E49" s="111" t="s">
        <v>58</v>
      </c>
      <c r="F49" s="53">
        <v>0</v>
      </c>
      <c r="G49" s="200"/>
      <c r="H49" s="81">
        <f t="shared" si="8"/>
        <v>0</v>
      </c>
      <c r="I49" s="130"/>
      <c r="J49" s="130"/>
      <c r="K49" s="138"/>
      <c r="L49" s="130"/>
      <c r="M49" s="138"/>
    </row>
    <row r="50" spans="1:13" x14ac:dyDescent="0.25">
      <c r="A50" s="201"/>
      <c r="B50" s="202"/>
      <c r="C50" s="138"/>
      <c r="D50" s="203"/>
      <c r="E50" s="2"/>
      <c r="F50" s="2"/>
      <c r="G50" s="36"/>
      <c r="H50" s="204"/>
      <c r="I50" s="130"/>
      <c r="J50" s="130"/>
      <c r="K50" s="138"/>
      <c r="L50" s="130"/>
      <c r="M50" s="2"/>
    </row>
    <row r="51" spans="1:13" ht="13" x14ac:dyDescent="0.3">
      <c r="A51" s="199" t="s">
        <v>24</v>
      </c>
      <c r="B51" s="209"/>
      <c r="C51" s="145"/>
      <c r="D51" s="210"/>
      <c r="E51" s="146"/>
      <c r="F51" s="146"/>
      <c r="G51" s="211"/>
      <c r="H51" s="212"/>
      <c r="I51" s="130"/>
      <c r="J51" s="130"/>
      <c r="K51" s="138"/>
      <c r="L51" s="130"/>
      <c r="M51" s="2"/>
    </row>
    <row r="52" spans="1:13" x14ac:dyDescent="0.25">
      <c r="A52" s="107" t="s">
        <v>25</v>
      </c>
      <c r="B52" s="5"/>
      <c r="C52" s="53">
        <f t="shared" ref="C52:C72" si="9">ROUND(CPI*D52,2)</f>
        <v>794.78</v>
      </c>
      <c r="D52" s="210">
        <v>555.25</v>
      </c>
      <c r="E52" s="147" t="s">
        <v>57</v>
      </c>
      <c r="F52" s="53">
        <f t="shared" ref="F52:F72" si="10">ROUND(CPI*G52,2)</f>
        <v>794.78</v>
      </c>
      <c r="G52" s="213">
        <v>555.25</v>
      </c>
      <c r="H52" s="87">
        <f t="shared" ref="H52:H74" si="11">IF($B$141="Yes",B52*F52,B52*C52)</f>
        <v>0</v>
      </c>
      <c r="I52" s="130"/>
      <c r="J52" s="130"/>
      <c r="K52" s="138"/>
      <c r="L52" s="130"/>
      <c r="M52" s="138"/>
    </row>
    <row r="53" spans="1:13" x14ac:dyDescent="0.25">
      <c r="A53" s="107" t="s">
        <v>92</v>
      </c>
      <c r="B53" s="3"/>
      <c r="C53" s="53">
        <f t="shared" si="9"/>
        <v>119.61</v>
      </c>
      <c r="D53" s="200">
        <v>83.56</v>
      </c>
      <c r="E53" s="111" t="s">
        <v>61</v>
      </c>
      <c r="F53" s="53">
        <f t="shared" si="10"/>
        <v>119.61</v>
      </c>
      <c r="G53" s="53">
        <v>83.56</v>
      </c>
      <c r="H53" s="81">
        <f t="shared" si="11"/>
        <v>0</v>
      </c>
      <c r="I53" s="130"/>
      <c r="J53" s="130"/>
      <c r="K53" s="138"/>
      <c r="L53" s="130"/>
      <c r="M53" s="138"/>
    </row>
    <row r="54" spans="1:13" x14ac:dyDescent="0.25">
      <c r="A54" s="107" t="s">
        <v>93</v>
      </c>
      <c r="B54" s="3"/>
      <c r="C54" s="53">
        <f t="shared" si="9"/>
        <v>119.61</v>
      </c>
      <c r="D54" s="200">
        <v>83.56</v>
      </c>
      <c r="E54" s="111" t="s">
        <v>61</v>
      </c>
      <c r="F54" s="53">
        <f t="shared" si="10"/>
        <v>119.61</v>
      </c>
      <c r="G54" s="53">
        <v>83.56</v>
      </c>
      <c r="H54" s="81">
        <f t="shared" si="11"/>
        <v>0</v>
      </c>
      <c r="I54" s="130"/>
      <c r="J54" s="130"/>
      <c r="K54" s="138"/>
      <c r="L54" s="130"/>
      <c r="M54" s="138"/>
    </row>
    <row r="55" spans="1:13" x14ac:dyDescent="0.25">
      <c r="A55" s="107" t="s">
        <v>77</v>
      </c>
      <c r="B55" s="3"/>
      <c r="C55" s="53">
        <f t="shared" si="9"/>
        <v>3.23</v>
      </c>
      <c r="D55" s="200">
        <v>2.2599999999999998</v>
      </c>
      <c r="E55" s="111" t="s">
        <v>58</v>
      </c>
      <c r="F55" s="53">
        <f t="shared" si="10"/>
        <v>4.0199999999999996</v>
      </c>
      <c r="G55" s="200">
        <v>2.81</v>
      </c>
      <c r="H55" s="81">
        <f t="shared" si="11"/>
        <v>0</v>
      </c>
      <c r="I55" s="130"/>
      <c r="J55" s="130"/>
      <c r="K55" s="138"/>
      <c r="L55" s="130"/>
      <c r="M55" s="138"/>
    </row>
    <row r="56" spans="1:13" x14ac:dyDescent="0.25">
      <c r="A56" s="107" t="s">
        <v>75</v>
      </c>
      <c r="B56" s="3"/>
      <c r="C56" s="53">
        <f t="shared" si="9"/>
        <v>476.85</v>
      </c>
      <c r="D56" s="200">
        <v>333.14</v>
      </c>
      <c r="E56" s="111" t="s">
        <v>61</v>
      </c>
      <c r="F56" s="53">
        <f t="shared" si="10"/>
        <v>476.85</v>
      </c>
      <c r="G56" s="53">
        <v>333.14</v>
      </c>
      <c r="H56" s="81">
        <f t="shared" si="11"/>
        <v>0</v>
      </c>
      <c r="I56" s="130"/>
      <c r="J56" s="130"/>
      <c r="K56" s="138"/>
      <c r="L56" s="130"/>
      <c r="M56" s="138"/>
    </row>
    <row r="57" spans="1:13" x14ac:dyDescent="0.25">
      <c r="A57" s="107" t="s">
        <v>76</v>
      </c>
      <c r="B57" s="3"/>
      <c r="C57" s="53">
        <f t="shared" si="9"/>
        <v>794.78</v>
      </c>
      <c r="D57" s="200">
        <v>555.25</v>
      </c>
      <c r="E57" s="111" t="s">
        <v>61</v>
      </c>
      <c r="F57" s="53">
        <f t="shared" si="10"/>
        <v>794.78</v>
      </c>
      <c r="G57" s="53">
        <v>555.25</v>
      </c>
      <c r="H57" s="81">
        <f t="shared" si="11"/>
        <v>0</v>
      </c>
      <c r="I57" s="130"/>
      <c r="J57" s="130"/>
      <c r="K57" s="138"/>
      <c r="L57" s="130"/>
      <c r="M57" s="138"/>
    </row>
    <row r="58" spans="1:13" ht="12.75" customHeight="1" x14ac:dyDescent="0.25">
      <c r="A58" s="107" t="s">
        <v>80</v>
      </c>
      <c r="B58" s="3"/>
      <c r="C58" s="53">
        <f t="shared" si="9"/>
        <v>79.489999999999995</v>
      </c>
      <c r="D58" s="200">
        <v>55.53</v>
      </c>
      <c r="E58" s="111" t="s">
        <v>61</v>
      </c>
      <c r="F58" s="53">
        <f t="shared" si="10"/>
        <v>95.67</v>
      </c>
      <c r="G58" s="200">
        <v>66.84</v>
      </c>
      <c r="H58" s="81">
        <f t="shared" si="11"/>
        <v>0</v>
      </c>
      <c r="I58" s="130"/>
      <c r="J58" s="130"/>
      <c r="K58" s="138"/>
      <c r="L58" s="130"/>
      <c r="M58" s="138"/>
    </row>
    <row r="59" spans="1:13" ht="12.75" customHeight="1" x14ac:dyDescent="0.25">
      <c r="A59" s="107" t="s">
        <v>88</v>
      </c>
      <c r="B59" s="3"/>
      <c r="C59" s="53">
        <f t="shared" si="9"/>
        <v>79.489999999999995</v>
      </c>
      <c r="D59" s="200">
        <v>55.53</v>
      </c>
      <c r="E59" s="111" t="s">
        <v>61</v>
      </c>
      <c r="F59" s="53">
        <f t="shared" si="10"/>
        <v>95.67</v>
      </c>
      <c r="G59" s="200">
        <v>66.84</v>
      </c>
      <c r="H59" s="81">
        <f t="shared" si="11"/>
        <v>0</v>
      </c>
      <c r="I59" s="130"/>
      <c r="J59" s="130"/>
      <c r="K59" s="138"/>
      <c r="L59" s="130"/>
      <c r="M59" s="138"/>
    </row>
    <row r="60" spans="1:13" ht="12.75" customHeight="1" x14ac:dyDescent="0.25">
      <c r="A60" s="107" t="s">
        <v>89</v>
      </c>
      <c r="B60" s="3"/>
      <c r="C60" s="53">
        <f t="shared" si="9"/>
        <v>67.13</v>
      </c>
      <c r="D60" s="200">
        <v>46.9</v>
      </c>
      <c r="E60" s="111" t="s">
        <v>61</v>
      </c>
      <c r="F60" s="53">
        <f t="shared" si="10"/>
        <v>80.239999999999995</v>
      </c>
      <c r="G60" s="200">
        <v>56.06</v>
      </c>
      <c r="H60" s="81">
        <f t="shared" si="11"/>
        <v>0</v>
      </c>
      <c r="I60" s="130"/>
      <c r="J60" s="130"/>
      <c r="K60" s="138"/>
      <c r="L60" s="130"/>
      <c r="M60" s="138"/>
    </row>
    <row r="61" spans="1:13" ht="12.75" customHeight="1" x14ac:dyDescent="0.25">
      <c r="A61" s="107" t="s">
        <v>314</v>
      </c>
      <c r="B61" s="3"/>
      <c r="C61" s="53">
        <f t="shared" si="9"/>
        <v>16.2</v>
      </c>
      <c r="D61" s="200">
        <v>11.32</v>
      </c>
      <c r="E61" s="111" t="s">
        <v>58</v>
      </c>
      <c r="F61" s="53">
        <f t="shared" si="10"/>
        <v>19.3</v>
      </c>
      <c r="G61" s="200">
        <v>13.48</v>
      </c>
      <c r="H61" s="81">
        <f t="shared" si="11"/>
        <v>0</v>
      </c>
      <c r="I61" s="130"/>
      <c r="J61" s="130"/>
      <c r="K61" s="138"/>
      <c r="L61" s="130"/>
      <c r="M61" s="138"/>
    </row>
    <row r="62" spans="1:13" ht="12.75" customHeight="1" x14ac:dyDescent="0.25">
      <c r="A62" s="107" t="s">
        <v>74</v>
      </c>
      <c r="B62" s="3"/>
      <c r="C62" s="53">
        <f t="shared" si="9"/>
        <v>239.2</v>
      </c>
      <c r="D62" s="200">
        <v>167.11</v>
      </c>
      <c r="E62" s="111" t="s">
        <v>61</v>
      </c>
      <c r="F62" s="53">
        <f t="shared" si="10"/>
        <v>324.08</v>
      </c>
      <c r="G62" s="200">
        <v>226.41</v>
      </c>
      <c r="H62" s="81">
        <f t="shared" si="11"/>
        <v>0</v>
      </c>
      <c r="I62" s="130"/>
      <c r="J62" s="130"/>
      <c r="K62" s="138"/>
      <c r="L62" s="130"/>
      <c r="M62" s="138"/>
    </row>
    <row r="63" spans="1:13" ht="12.75" customHeight="1" x14ac:dyDescent="0.25">
      <c r="A63" s="107" t="s">
        <v>79</v>
      </c>
      <c r="B63" s="3"/>
      <c r="C63" s="53">
        <f t="shared" si="9"/>
        <v>4.78</v>
      </c>
      <c r="D63" s="200">
        <v>3.34</v>
      </c>
      <c r="E63" s="111" t="s">
        <v>60</v>
      </c>
      <c r="F63" s="53">
        <f t="shared" si="10"/>
        <v>6.48</v>
      </c>
      <c r="G63" s="200">
        <v>4.53</v>
      </c>
      <c r="H63" s="81">
        <f t="shared" si="11"/>
        <v>0</v>
      </c>
      <c r="I63" s="130"/>
      <c r="J63" s="130"/>
      <c r="K63" s="138"/>
      <c r="L63" s="130"/>
      <c r="M63" s="138"/>
    </row>
    <row r="64" spans="1:13" ht="12.75" customHeight="1" x14ac:dyDescent="0.25">
      <c r="A64" s="107" t="s">
        <v>26</v>
      </c>
      <c r="B64" s="3"/>
      <c r="C64" s="53">
        <f t="shared" si="9"/>
        <v>67.13</v>
      </c>
      <c r="D64" s="200">
        <v>46.9</v>
      </c>
      <c r="E64" s="111" t="s">
        <v>58</v>
      </c>
      <c r="F64" s="53">
        <f t="shared" si="10"/>
        <v>71.760000000000005</v>
      </c>
      <c r="G64" s="200">
        <v>50.13</v>
      </c>
      <c r="H64" s="81">
        <f t="shared" si="11"/>
        <v>0</v>
      </c>
      <c r="I64" s="130"/>
      <c r="J64" s="130"/>
      <c r="K64" s="138"/>
      <c r="L64" s="130"/>
      <c r="M64" s="138"/>
    </row>
    <row r="65" spans="1:13" ht="12.75" customHeight="1" x14ac:dyDescent="0.25">
      <c r="A65" s="107" t="s">
        <v>27</v>
      </c>
      <c r="B65" s="3"/>
      <c r="C65" s="53">
        <f t="shared" si="9"/>
        <v>19.3</v>
      </c>
      <c r="D65" s="200">
        <v>13.48</v>
      </c>
      <c r="E65" s="111" t="s">
        <v>57</v>
      </c>
      <c r="F65" s="53">
        <f t="shared" si="10"/>
        <v>23.92</v>
      </c>
      <c r="G65" s="200">
        <v>16.71</v>
      </c>
      <c r="H65" s="81">
        <f t="shared" si="11"/>
        <v>0</v>
      </c>
      <c r="I65" s="130"/>
      <c r="J65" s="130"/>
      <c r="K65" s="138"/>
      <c r="L65" s="130"/>
      <c r="M65" s="138"/>
    </row>
    <row r="66" spans="1:13" ht="12.75" customHeight="1" x14ac:dyDescent="0.25">
      <c r="A66" s="107" t="s">
        <v>28</v>
      </c>
      <c r="B66" s="3"/>
      <c r="C66" s="53">
        <f t="shared" si="9"/>
        <v>23.92</v>
      </c>
      <c r="D66" s="200">
        <v>16.71</v>
      </c>
      <c r="E66" s="111" t="s">
        <v>58</v>
      </c>
      <c r="F66" s="53">
        <f t="shared" si="10"/>
        <v>31.79</v>
      </c>
      <c r="G66" s="200">
        <v>22.21</v>
      </c>
      <c r="H66" s="81">
        <f t="shared" si="11"/>
        <v>0</v>
      </c>
      <c r="I66" s="130"/>
      <c r="J66" s="130"/>
      <c r="K66" s="138"/>
      <c r="L66" s="130"/>
      <c r="M66" s="138"/>
    </row>
    <row r="67" spans="1:13" ht="12.75" customHeight="1" x14ac:dyDescent="0.25">
      <c r="A67" s="107" t="s">
        <v>29</v>
      </c>
      <c r="B67" s="3"/>
      <c r="C67" s="53">
        <f t="shared" si="9"/>
        <v>30.99</v>
      </c>
      <c r="D67" s="200">
        <v>21.65</v>
      </c>
      <c r="E67" s="111" t="s">
        <v>58</v>
      </c>
      <c r="F67" s="53">
        <f t="shared" si="10"/>
        <v>43.21</v>
      </c>
      <c r="G67" s="200">
        <v>30.19</v>
      </c>
      <c r="H67" s="81">
        <f t="shared" si="11"/>
        <v>0</v>
      </c>
      <c r="I67" s="130"/>
      <c r="J67" s="130"/>
      <c r="K67" s="138"/>
      <c r="L67" s="130"/>
      <c r="M67" s="138"/>
    </row>
    <row r="68" spans="1:13" ht="12.75" customHeight="1" x14ac:dyDescent="0.25">
      <c r="A68" s="107" t="s">
        <v>315</v>
      </c>
      <c r="B68" s="3"/>
      <c r="C68" s="53">
        <f t="shared" si="9"/>
        <v>683.66</v>
      </c>
      <c r="D68" s="200">
        <v>477.62</v>
      </c>
      <c r="E68" s="111" t="s">
        <v>57</v>
      </c>
      <c r="F68" s="53">
        <f t="shared" si="10"/>
        <v>827.19</v>
      </c>
      <c r="G68" s="200">
        <v>577.89</v>
      </c>
      <c r="H68" s="81">
        <f t="shared" si="11"/>
        <v>0</v>
      </c>
      <c r="I68" s="130"/>
      <c r="J68" s="130"/>
      <c r="K68" s="138"/>
      <c r="L68" s="130"/>
      <c r="M68" s="138"/>
    </row>
    <row r="69" spans="1:13" x14ac:dyDescent="0.25">
      <c r="A69" s="107" t="s">
        <v>31</v>
      </c>
      <c r="B69" s="3"/>
      <c r="C69" s="53">
        <f t="shared" si="9"/>
        <v>620.38</v>
      </c>
      <c r="D69" s="200">
        <v>433.41</v>
      </c>
      <c r="E69" s="111" t="s">
        <v>57</v>
      </c>
      <c r="F69" s="53">
        <f t="shared" si="10"/>
        <v>731.5</v>
      </c>
      <c r="G69" s="200">
        <v>511.04</v>
      </c>
      <c r="H69" s="81">
        <f t="shared" si="11"/>
        <v>0</v>
      </c>
      <c r="I69" s="130"/>
      <c r="J69" s="130"/>
      <c r="K69" s="138"/>
      <c r="L69" s="130"/>
      <c r="M69" s="138"/>
    </row>
    <row r="70" spans="1:13" x14ac:dyDescent="0.25">
      <c r="A70" s="107" t="s">
        <v>32</v>
      </c>
      <c r="B70" s="3"/>
      <c r="C70" s="53">
        <f t="shared" si="9"/>
        <v>143.53</v>
      </c>
      <c r="D70" s="200">
        <v>100.27</v>
      </c>
      <c r="E70" s="111" t="s">
        <v>57</v>
      </c>
      <c r="F70" s="53">
        <f t="shared" si="10"/>
        <v>158.96</v>
      </c>
      <c r="G70" s="200">
        <v>111.05</v>
      </c>
      <c r="H70" s="81">
        <f t="shared" si="11"/>
        <v>0</v>
      </c>
      <c r="I70" s="130"/>
      <c r="J70" s="130"/>
      <c r="K70" s="138"/>
      <c r="L70" s="130"/>
      <c r="M70" s="138"/>
    </row>
    <row r="71" spans="1:13" x14ac:dyDescent="0.25">
      <c r="A71" s="107" t="s">
        <v>56</v>
      </c>
      <c r="B71" s="3"/>
      <c r="C71" s="53">
        <f t="shared" si="9"/>
        <v>1191.3900000000001</v>
      </c>
      <c r="D71" s="200">
        <v>832.33</v>
      </c>
      <c r="E71" s="111" t="s">
        <v>57</v>
      </c>
      <c r="F71" s="53">
        <f t="shared" si="10"/>
        <v>1191.3900000000001</v>
      </c>
      <c r="G71" s="53">
        <v>832.33</v>
      </c>
      <c r="H71" s="81">
        <f t="shared" si="11"/>
        <v>0</v>
      </c>
      <c r="I71" s="130"/>
      <c r="J71" s="130"/>
      <c r="K71" s="138"/>
      <c r="L71" s="130"/>
      <c r="M71" s="138"/>
    </row>
    <row r="72" spans="1:13" x14ac:dyDescent="0.25">
      <c r="A72" s="107" t="s">
        <v>33</v>
      </c>
      <c r="B72" s="3"/>
      <c r="C72" s="53">
        <f t="shared" si="9"/>
        <v>2223.8200000000002</v>
      </c>
      <c r="D72" s="205">
        <v>1553.61</v>
      </c>
      <c r="E72" s="123" t="s">
        <v>57</v>
      </c>
      <c r="F72" s="53">
        <f t="shared" si="10"/>
        <v>2223.8200000000002</v>
      </c>
      <c r="G72" s="53">
        <v>1553.61</v>
      </c>
      <c r="H72" s="81">
        <f t="shared" si="11"/>
        <v>0</v>
      </c>
      <c r="I72" s="130"/>
      <c r="J72" s="130"/>
      <c r="K72" s="138"/>
      <c r="L72" s="130"/>
      <c r="M72" s="138"/>
    </row>
    <row r="73" spans="1:13" x14ac:dyDescent="0.25">
      <c r="A73" s="107" t="s">
        <v>491</v>
      </c>
      <c r="B73" s="31"/>
      <c r="C73" s="11">
        <v>0</v>
      </c>
      <c r="D73" s="200">
        <v>0</v>
      </c>
      <c r="E73" s="111" t="s">
        <v>57</v>
      </c>
      <c r="F73" s="214">
        <f>C73</f>
        <v>0</v>
      </c>
      <c r="G73" s="200">
        <v>0</v>
      </c>
      <c r="H73" s="81">
        <f t="shared" si="11"/>
        <v>0</v>
      </c>
      <c r="I73" s="130"/>
      <c r="J73" s="130"/>
      <c r="K73" s="138"/>
      <c r="L73" s="130"/>
      <c r="M73" s="138"/>
    </row>
    <row r="74" spans="1:13" x14ac:dyDescent="0.25">
      <c r="A74" s="22"/>
      <c r="B74" s="3"/>
      <c r="C74" s="45">
        <v>0</v>
      </c>
      <c r="D74" s="200"/>
      <c r="E74" s="44"/>
      <c r="F74" s="53">
        <v>0</v>
      </c>
      <c r="G74" s="200"/>
      <c r="H74" s="81">
        <f t="shared" si="11"/>
        <v>0</v>
      </c>
      <c r="I74" s="130"/>
      <c r="J74" s="130"/>
      <c r="K74" s="138"/>
      <c r="L74" s="130"/>
      <c r="M74" s="138"/>
    </row>
    <row r="75" spans="1:13" ht="15" customHeight="1" x14ac:dyDescent="0.25">
      <c r="A75" s="215"/>
      <c r="C75" s="216"/>
      <c r="D75" s="216"/>
      <c r="E75" s="216"/>
      <c r="G75" s="36"/>
      <c r="H75" s="217"/>
      <c r="I75" s="130"/>
      <c r="J75" s="130"/>
      <c r="K75" s="138"/>
      <c r="L75" s="130"/>
      <c r="M75" s="138"/>
    </row>
    <row r="76" spans="1:13" ht="12.75" hidden="1" customHeight="1" x14ac:dyDescent="0.25">
      <c r="A76" s="104" t="s">
        <v>35</v>
      </c>
      <c r="B76" s="218"/>
      <c r="C76" s="219"/>
      <c r="D76" s="210"/>
      <c r="E76" s="145"/>
      <c r="F76" s="147"/>
      <c r="G76" s="211"/>
      <c r="H76" s="220"/>
      <c r="I76" s="130"/>
      <c r="J76" s="130"/>
      <c r="K76" s="138"/>
      <c r="L76" s="130"/>
      <c r="M76" s="2"/>
    </row>
    <row r="77" spans="1:13" ht="12.75" hidden="1" customHeight="1" x14ac:dyDescent="0.25">
      <c r="A77" s="107" t="s">
        <v>36</v>
      </c>
      <c r="B77" s="108"/>
      <c r="C77" s="109"/>
      <c r="D77" s="200"/>
      <c r="E77" s="119"/>
      <c r="F77" s="111"/>
      <c r="G77" s="221"/>
      <c r="H77" s="51"/>
      <c r="I77" s="130"/>
      <c r="J77" s="130"/>
      <c r="K77" s="138"/>
      <c r="L77" s="130"/>
      <c r="M77" s="2"/>
    </row>
    <row r="78" spans="1:13" ht="12.75" hidden="1" customHeight="1" x14ac:dyDescent="0.25">
      <c r="A78" s="107" t="s">
        <v>37</v>
      </c>
      <c r="B78" s="222"/>
      <c r="C78" s="109">
        <v>105</v>
      </c>
      <c r="D78" s="200">
        <v>105</v>
      </c>
      <c r="E78" s="119"/>
      <c r="F78" s="111"/>
      <c r="G78" s="221"/>
      <c r="H78" s="51">
        <f t="shared" ref="H78:H83" si="12">B78*C78</f>
        <v>0</v>
      </c>
      <c r="I78" s="130"/>
      <c r="J78" s="130"/>
      <c r="K78" s="138"/>
      <c r="L78" s="130"/>
      <c r="M78" s="2"/>
    </row>
    <row r="79" spans="1:13" ht="12.75" hidden="1" customHeight="1" x14ac:dyDescent="0.25">
      <c r="A79" s="107" t="s">
        <v>38</v>
      </c>
      <c r="B79" s="222"/>
      <c r="C79" s="109">
        <v>99</v>
      </c>
      <c r="D79" s="200">
        <v>99</v>
      </c>
      <c r="E79" s="119"/>
      <c r="F79" s="111"/>
      <c r="G79" s="221"/>
      <c r="H79" s="51">
        <f t="shared" si="12"/>
        <v>0</v>
      </c>
      <c r="I79" s="130"/>
      <c r="J79" s="130"/>
      <c r="K79" s="138"/>
      <c r="L79" s="130"/>
      <c r="M79" s="2"/>
    </row>
    <row r="80" spans="1:13" ht="12.75" hidden="1" customHeight="1" x14ac:dyDescent="0.25">
      <c r="A80" s="107" t="s">
        <v>39</v>
      </c>
      <c r="B80" s="222"/>
      <c r="C80" s="109">
        <v>96</v>
      </c>
      <c r="D80" s="200">
        <v>96</v>
      </c>
      <c r="E80" s="119"/>
      <c r="F80" s="111"/>
      <c r="G80" s="221"/>
      <c r="H80" s="51">
        <f t="shared" si="12"/>
        <v>0</v>
      </c>
      <c r="I80" s="130"/>
      <c r="J80" s="130"/>
      <c r="K80" s="138"/>
      <c r="L80" s="130"/>
      <c r="M80" s="2"/>
    </row>
    <row r="81" spans="1:13" ht="12.75" hidden="1" customHeight="1" x14ac:dyDescent="0.25">
      <c r="A81" s="107" t="s">
        <v>40</v>
      </c>
      <c r="B81" s="222"/>
      <c r="C81" s="109">
        <v>118</v>
      </c>
      <c r="D81" s="200">
        <v>118</v>
      </c>
      <c r="E81" s="119"/>
      <c r="F81" s="111"/>
      <c r="G81" s="221"/>
      <c r="H81" s="51">
        <f t="shared" si="12"/>
        <v>0</v>
      </c>
      <c r="I81" s="130"/>
      <c r="J81" s="130"/>
      <c r="K81" s="138"/>
      <c r="L81" s="130"/>
      <c r="M81" s="2"/>
    </row>
    <row r="82" spans="1:13" ht="12.75" hidden="1" customHeight="1" x14ac:dyDescent="0.25">
      <c r="A82" s="107" t="s">
        <v>41</v>
      </c>
      <c r="B82" s="222"/>
      <c r="C82" s="109">
        <v>112</v>
      </c>
      <c r="D82" s="200">
        <v>112</v>
      </c>
      <c r="E82" s="119"/>
      <c r="F82" s="111"/>
      <c r="G82" s="221"/>
      <c r="H82" s="51">
        <f t="shared" si="12"/>
        <v>0</v>
      </c>
      <c r="I82" s="130"/>
      <c r="J82" s="130"/>
      <c r="K82" s="138"/>
      <c r="L82" s="130"/>
      <c r="M82" s="2"/>
    </row>
    <row r="83" spans="1:13" ht="12.75" hidden="1" customHeight="1" x14ac:dyDescent="0.25">
      <c r="A83" s="107" t="s">
        <v>42</v>
      </c>
      <c r="B83" s="222"/>
      <c r="C83" s="109">
        <v>109</v>
      </c>
      <c r="D83" s="200">
        <v>109</v>
      </c>
      <c r="E83" s="119"/>
      <c r="F83" s="111"/>
      <c r="G83" s="221"/>
      <c r="H83" s="51">
        <f t="shared" si="12"/>
        <v>0</v>
      </c>
      <c r="I83" s="130"/>
      <c r="J83" s="130"/>
      <c r="K83" s="138"/>
      <c r="L83" s="130"/>
      <c r="M83" s="2"/>
    </row>
    <row r="84" spans="1:13" ht="12.75" hidden="1" customHeight="1" x14ac:dyDescent="0.25">
      <c r="A84" s="107" t="s">
        <v>43</v>
      </c>
      <c r="B84" s="108"/>
      <c r="C84" s="109"/>
      <c r="D84" s="200"/>
      <c r="E84" s="119"/>
      <c r="F84" s="111"/>
      <c r="G84" s="221"/>
      <c r="H84" s="51"/>
      <c r="I84" s="130"/>
      <c r="J84" s="130"/>
      <c r="K84" s="138"/>
      <c r="L84" s="130"/>
      <c r="M84" s="2"/>
    </row>
    <row r="85" spans="1:13" ht="12.75" hidden="1" customHeight="1" x14ac:dyDescent="0.25">
      <c r="A85" s="107" t="s">
        <v>44</v>
      </c>
      <c r="B85" s="222"/>
      <c r="C85" s="109">
        <v>57</v>
      </c>
      <c r="D85" s="200">
        <v>57</v>
      </c>
      <c r="E85" s="119"/>
      <c r="F85" s="111"/>
      <c r="G85" s="221"/>
      <c r="H85" s="51">
        <f t="shared" ref="H85:H93" si="13">B85*C85</f>
        <v>0</v>
      </c>
      <c r="I85" s="130"/>
      <c r="J85" s="130"/>
      <c r="K85" s="138"/>
      <c r="L85" s="130"/>
      <c r="M85" s="2"/>
    </row>
    <row r="86" spans="1:13" ht="12.75" hidden="1" customHeight="1" x14ac:dyDescent="0.25">
      <c r="A86" s="107" t="s">
        <v>45</v>
      </c>
      <c r="B86" s="222"/>
      <c r="C86" s="109">
        <v>71</v>
      </c>
      <c r="D86" s="200">
        <v>71</v>
      </c>
      <c r="E86" s="119"/>
      <c r="F86" s="111"/>
      <c r="G86" s="221"/>
      <c r="H86" s="51">
        <f t="shared" si="13"/>
        <v>0</v>
      </c>
      <c r="I86" s="130"/>
      <c r="J86" s="130"/>
      <c r="K86" s="138"/>
      <c r="L86" s="130"/>
      <c r="M86" s="2"/>
    </row>
    <row r="87" spans="1:13" ht="12.75" hidden="1" customHeight="1" x14ac:dyDescent="0.25">
      <c r="A87" s="107" t="s">
        <v>46</v>
      </c>
      <c r="B87" s="222"/>
      <c r="C87" s="109">
        <v>48</v>
      </c>
      <c r="D87" s="200">
        <v>48</v>
      </c>
      <c r="E87" s="119"/>
      <c r="F87" s="111"/>
      <c r="G87" s="221"/>
      <c r="H87" s="51">
        <f t="shared" si="13"/>
        <v>0</v>
      </c>
      <c r="I87" s="130"/>
      <c r="J87" s="130"/>
      <c r="K87" s="138"/>
      <c r="L87" s="130"/>
      <c r="M87" s="2"/>
    </row>
    <row r="88" spans="1:13" ht="12.75" hidden="1" customHeight="1" x14ac:dyDescent="0.25">
      <c r="A88" s="107" t="s">
        <v>47</v>
      </c>
      <c r="B88" s="222"/>
      <c r="C88" s="109">
        <v>62</v>
      </c>
      <c r="D88" s="200">
        <v>62</v>
      </c>
      <c r="E88" s="119"/>
      <c r="F88" s="111"/>
      <c r="G88" s="221"/>
      <c r="H88" s="51">
        <f t="shared" si="13"/>
        <v>0</v>
      </c>
      <c r="I88" s="130"/>
      <c r="J88" s="130"/>
      <c r="K88" s="138"/>
      <c r="L88" s="130"/>
      <c r="M88" s="2"/>
    </row>
    <row r="89" spans="1:13" ht="12.75" hidden="1" customHeight="1" x14ac:dyDescent="0.25">
      <c r="A89" s="107" t="s">
        <v>49</v>
      </c>
      <c r="B89" s="222"/>
      <c r="C89" s="109">
        <v>12000</v>
      </c>
      <c r="D89" s="200">
        <v>12000</v>
      </c>
      <c r="E89" s="119"/>
      <c r="F89" s="111"/>
      <c r="G89" s="221"/>
      <c r="H89" s="51">
        <f t="shared" si="13"/>
        <v>0</v>
      </c>
      <c r="I89" s="130"/>
      <c r="J89" s="130"/>
      <c r="K89" s="138"/>
      <c r="L89" s="130"/>
      <c r="M89" s="2"/>
    </row>
    <row r="90" spans="1:13" ht="12.75" hidden="1" customHeight="1" x14ac:dyDescent="0.25">
      <c r="A90" s="107" t="s">
        <v>48</v>
      </c>
      <c r="B90" s="222"/>
      <c r="C90" s="109">
        <v>15000</v>
      </c>
      <c r="D90" s="200">
        <v>15000</v>
      </c>
      <c r="E90" s="119"/>
      <c r="F90" s="111"/>
      <c r="G90" s="221"/>
      <c r="H90" s="51">
        <f t="shared" si="13"/>
        <v>0</v>
      </c>
      <c r="I90" s="130"/>
      <c r="J90" s="130"/>
      <c r="K90" s="138"/>
      <c r="L90" s="130"/>
      <c r="M90" s="2"/>
    </row>
    <row r="91" spans="1:13" ht="12.75" hidden="1" customHeight="1" x14ac:dyDescent="0.25">
      <c r="A91" s="107" t="s">
        <v>50</v>
      </c>
      <c r="B91" s="222"/>
      <c r="C91" s="109">
        <v>22000</v>
      </c>
      <c r="D91" s="200">
        <v>22000</v>
      </c>
      <c r="E91" s="119"/>
      <c r="F91" s="111"/>
      <c r="G91" s="221"/>
      <c r="H91" s="51">
        <f t="shared" si="13"/>
        <v>0</v>
      </c>
      <c r="I91" s="130"/>
      <c r="J91" s="130"/>
      <c r="K91" s="138"/>
      <c r="L91" s="130"/>
      <c r="M91" s="2"/>
    </row>
    <row r="92" spans="1:13" ht="12.75" hidden="1" customHeight="1" x14ac:dyDescent="0.25">
      <c r="A92" s="107" t="s">
        <v>51</v>
      </c>
      <c r="B92" s="222"/>
      <c r="C92" s="109">
        <v>4000</v>
      </c>
      <c r="D92" s="200">
        <v>4000</v>
      </c>
      <c r="E92" s="119"/>
      <c r="F92" s="111"/>
      <c r="G92" s="221"/>
      <c r="H92" s="51">
        <f t="shared" si="13"/>
        <v>0</v>
      </c>
      <c r="I92" s="130"/>
      <c r="J92" s="130"/>
      <c r="K92" s="138"/>
      <c r="L92" s="130"/>
      <c r="M92" s="2"/>
    </row>
    <row r="93" spans="1:13" ht="12.75" hidden="1" customHeight="1" x14ac:dyDescent="0.25">
      <c r="A93" s="107" t="s">
        <v>52</v>
      </c>
      <c r="B93" s="222"/>
      <c r="C93" s="109">
        <v>1900</v>
      </c>
      <c r="D93" s="200">
        <v>1900</v>
      </c>
      <c r="E93" s="119"/>
      <c r="F93" s="111"/>
      <c r="G93" s="221"/>
      <c r="H93" s="51">
        <f t="shared" si="13"/>
        <v>0</v>
      </c>
      <c r="I93" s="130"/>
      <c r="J93" s="130"/>
      <c r="K93" s="138"/>
      <c r="L93" s="130"/>
      <c r="M93" s="2"/>
    </row>
    <row r="94" spans="1:13" ht="12.75" hidden="1" customHeight="1" x14ac:dyDescent="0.25">
      <c r="A94" s="107" t="s">
        <v>53</v>
      </c>
      <c r="B94" s="108"/>
      <c r="C94" s="109"/>
      <c r="D94" s="200"/>
      <c r="E94" s="119"/>
      <c r="F94" s="111"/>
      <c r="G94" s="221"/>
      <c r="H94" s="51"/>
      <c r="I94" s="130"/>
      <c r="J94" s="130"/>
      <c r="K94" s="138"/>
      <c r="L94" s="130"/>
      <c r="M94" s="2"/>
    </row>
    <row r="95" spans="1:13" ht="12.75" hidden="1" customHeight="1" x14ac:dyDescent="0.25">
      <c r="A95" s="107" t="s">
        <v>54</v>
      </c>
      <c r="B95" s="222"/>
      <c r="C95" s="109">
        <v>8500</v>
      </c>
      <c r="D95" s="200">
        <v>8500</v>
      </c>
      <c r="E95" s="119"/>
      <c r="F95" s="111"/>
      <c r="G95" s="221"/>
      <c r="H95" s="51">
        <f>B95*C95</f>
        <v>0</v>
      </c>
      <c r="I95" s="130"/>
      <c r="J95" s="130"/>
      <c r="K95" s="138"/>
      <c r="L95" s="130"/>
      <c r="M95" s="2"/>
    </row>
    <row r="96" spans="1:13" ht="12.75" hidden="1" customHeight="1" x14ac:dyDescent="0.25">
      <c r="A96" s="107" t="s">
        <v>55</v>
      </c>
      <c r="B96" s="223"/>
      <c r="C96" s="224">
        <v>5500</v>
      </c>
      <c r="D96" s="205">
        <v>5500</v>
      </c>
      <c r="E96" s="136"/>
      <c r="F96" s="123"/>
      <c r="G96" s="37"/>
      <c r="H96" s="92">
        <f>B96*C96</f>
        <v>0</v>
      </c>
      <c r="I96" s="130"/>
      <c r="J96" s="130"/>
      <c r="K96" s="138"/>
      <c r="L96" s="130"/>
      <c r="M96" s="2"/>
    </row>
    <row r="97" spans="1:13" ht="13" x14ac:dyDescent="0.3">
      <c r="A97" s="199" t="s">
        <v>225</v>
      </c>
      <c r="B97" s="202"/>
      <c r="C97" s="138"/>
      <c r="D97" s="203"/>
      <c r="E97" s="138"/>
      <c r="F97" s="2"/>
      <c r="G97" s="36"/>
      <c r="H97" s="204"/>
      <c r="I97" s="130"/>
      <c r="J97" s="130"/>
      <c r="K97" s="138"/>
      <c r="L97" s="130"/>
      <c r="M97" s="2"/>
    </row>
    <row r="98" spans="1:13" x14ac:dyDescent="0.25">
      <c r="A98" s="107" t="s">
        <v>224</v>
      </c>
      <c r="B98" s="225"/>
      <c r="C98" s="138"/>
      <c r="D98" s="203"/>
      <c r="E98" s="138"/>
      <c r="F98" s="2"/>
      <c r="G98" s="36"/>
      <c r="H98" s="204"/>
      <c r="I98" s="130"/>
      <c r="J98" s="130"/>
      <c r="K98" s="138"/>
      <c r="L98" s="130"/>
      <c r="M98" s="2"/>
    </row>
    <row r="99" spans="1:13" x14ac:dyDescent="0.25">
      <c r="A99" s="107" t="s">
        <v>226</v>
      </c>
      <c r="B99" s="3"/>
      <c r="C99" s="53">
        <f>ROUND(CPI*D99,2)</f>
        <v>1589.54</v>
      </c>
      <c r="D99" s="200">
        <v>1110.49</v>
      </c>
      <c r="E99" s="111" t="s">
        <v>57</v>
      </c>
      <c r="F99" s="53">
        <f>ROUND(CPI*G99,2)</f>
        <v>1589.54</v>
      </c>
      <c r="G99" s="53">
        <v>1110.49</v>
      </c>
      <c r="H99" s="81">
        <f>IF($B$141="Yes",B99*F99,B99*C99)</f>
        <v>0</v>
      </c>
      <c r="I99" s="130"/>
      <c r="J99" s="130"/>
      <c r="K99" s="138"/>
      <c r="L99" s="130"/>
      <c r="M99" s="138"/>
    </row>
    <row r="100" spans="1:13" x14ac:dyDescent="0.25">
      <c r="A100" s="107" t="s">
        <v>227</v>
      </c>
      <c r="B100" s="3"/>
      <c r="C100" s="53">
        <f>ROUND(CPI*D100,2)</f>
        <v>2064.86</v>
      </c>
      <c r="D100" s="200">
        <v>1442.56</v>
      </c>
      <c r="E100" s="111" t="s">
        <v>57</v>
      </c>
      <c r="F100" s="53">
        <f>ROUND(CPI*G100,2)</f>
        <v>2064.86</v>
      </c>
      <c r="G100" s="53">
        <v>1442.56</v>
      </c>
      <c r="H100" s="81">
        <f>IF($B$141="Yes",B100*F100,B100*C100)</f>
        <v>0</v>
      </c>
      <c r="I100" s="130"/>
      <c r="J100" s="130"/>
      <c r="K100" s="138"/>
      <c r="L100" s="130"/>
      <c r="M100" s="138"/>
    </row>
    <row r="101" spans="1:13" x14ac:dyDescent="0.25">
      <c r="A101" s="107" t="s">
        <v>228</v>
      </c>
      <c r="B101" s="3"/>
      <c r="C101" s="53">
        <f>ROUND(CPI*D101,2)</f>
        <v>2541.73</v>
      </c>
      <c r="D101" s="200">
        <v>1775.71</v>
      </c>
      <c r="E101" s="111" t="s">
        <v>57</v>
      </c>
      <c r="F101" s="53">
        <f>ROUND(CPI*G101,2)</f>
        <v>2541.73</v>
      </c>
      <c r="G101" s="53">
        <v>1775.71</v>
      </c>
      <c r="H101" s="81">
        <f>IF($B$141="Yes",B101*F101,B101*C101)</f>
        <v>0</v>
      </c>
      <c r="I101" s="130"/>
      <c r="J101" s="130"/>
      <c r="K101" s="138"/>
      <c r="L101" s="130"/>
      <c r="M101" s="138"/>
    </row>
    <row r="102" spans="1:13" x14ac:dyDescent="0.25">
      <c r="A102" s="107" t="s">
        <v>223</v>
      </c>
      <c r="B102" s="3"/>
      <c r="C102" s="53">
        <f>ROUND(CPI*D102,2)</f>
        <v>4764.01</v>
      </c>
      <c r="D102" s="200">
        <v>3328.24</v>
      </c>
      <c r="E102" s="111" t="s">
        <v>57</v>
      </c>
      <c r="F102" s="53">
        <f>ROUND(CPI*G102,2)</f>
        <v>4764.01</v>
      </c>
      <c r="G102" s="53">
        <v>3328.24</v>
      </c>
      <c r="H102" s="81">
        <f>IF($B$141="Yes",B102*F102,B102*C102)</f>
        <v>0</v>
      </c>
      <c r="I102" s="130"/>
      <c r="J102" s="130"/>
      <c r="K102" s="138"/>
      <c r="L102" s="130"/>
      <c r="M102" s="138"/>
    </row>
    <row r="103" spans="1:13" x14ac:dyDescent="0.25">
      <c r="A103" s="22"/>
      <c r="B103" s="3"/>
      <c r="C103" s="45">
        <v>0</v>
      </c>
      <c r="D103" s="43"/>
      <c r="E103" s="44"/>
      <c r="F103" s="53">
        <v>0</v>
      </c>
      <c r="G103" s="200"/>
      <c r="H103" s="81">
        <f t="shared" ref="H103" si="14">IF($B$141="Yes",B103*F103,B103*C103)</f>
        <v>0</v>
      </c>
      <c r="I103" s="130"/>
      <c r="J103" s="130"/>
      <c r="K103" s="138"/>
      <c r="L103" s="130"/>
      <c r="M103" s="138"/>
    </row>
    <row r="104" spans="1:13" x14ac:dyDescent="0.25">
      <c r="A104" s="201"/>
      <c r="B104" s="225"/>
      <c r="C104" s="138"/>
      <c r="D104" s="203"/>
      <c r="E104" s="2"/>
      <c r="F104" s="2"/>
      <c r="G104" s="36"/>
      <c r="H104" s="204"/>
      <c r="I104" s="130"/>
      <c r="J104" s="130"/>
      <c r="K104" s="138"/>
      <c r="L104" s="130"/>
      <c r="M104" s="2"/>
    </row>
    <row r="105" spans="1:13" ht="13" x14ac:dyDescent="0.3">
      <c r="A105" s="199" t="s">
        <v>533</v>
      </c>
      <c r="B105" s="209"/>
      <c r="C105" s="145"/>
      <c r="D105" s="210"/>
      <c r="E105" s="145"/>
      <c r="F105" s="146"/>
      <c r="G105" s="211"/>
      <c r="H105" s="212"/>
      <c r="I105" s="130"/>
      <c r="J105" s="130"/>
      <c r="K105" s="138"/>
      <c r="L105" s="130"/>
      <c r="M105" s="2"/>
    </row>
    <row r="106" spans="1:13" x14ac:dyDescent="0.25">
      <c r="A106" s="107" t="s">
        <v>64</v>
      </c>
      <c r="B106" s="5"/>
      <c r="C106" s="53">
        <f t="shared" ref="C106:C118" si="15">ROUND(CPI*D106,2)</f>
        <v>6358.19</v>
      </c>
      <c r="D106" s="210">
        <v>4441.97</v>
      </c>
      <c r="E106" s="147" t="s">
        <v>57</v>
      </c>
      <c r="F106" s="53">
        <f t="shared" ref="F106:F118" si="16">ROUND(CPI*G106,2)</f>
        <v>6358.19</v>
      </c>
      <c r="G106" s="213">
        <v>4441.97</v>
      </c>
      <c r="H106" s="87">
        <f t="shared" ref="H106:H118" si="17">IF($B$141="Yes",B106*F106,B106*C106)</f>
        <v>0</v>
      </c>
      <c r="I106" s="130"/>
      <c r="J106" s="130"/>
      <c r="K106" s="138"/>
      <c r="L106" s="130"/>
      <c r="M106" s="138"/>
    </row>
    <row r="107" spans="1:13" x14ac:dyDescent="0.25">
      <c r="A107" s="107" t="s">
        <v>65</v>
      </c>
      <c r="B107" s="3"/>
      <c r="C107" s="53">
        <f t="shared" si="15"/>
        <v>7152.95</v>
      </c>
      <c r="D107" s="200">
        <v>4997.21</v>
      </c>
      <c r="E107" s="111" t="s">
        <v>57</v>
      </c>
      <c r="F107" s="53">
        <f t="shared" si="16"/>
        <v>7152.95</v>
      </c>
      <c r="G107" s="53">
        <v>4997.21</v>
      </c>
      <c r="H107" s="81">
        <f t="shared" si="17"/>
        <v>0</v>
      </c>
      <c r="I107" s="130"/>
      <c r="J107" s="130"/>
      <c r="K107" s="138"/>
      <c r="L107" s="130"/>
      <c r="M107" s="138"/>
    </row>
    <row r="108" spans="1:13" x14ac:dyDescent="0.25">
      <c r="A108" s="107" t="s">
        <v>66</v>
      </c>
      <c r="B108" s="3"/>
      <c r="C108" s="53">
        <f t="shared" si="15"/>
        <v>8742.49</v>
      </c>
      <c r="D108" s="200">
        <v>6107.7</v>
      </c>
      <c r="E108" s="111" t="s">
        <v>57</v>
      </c>
      <c r="F108" s="53">
        <f t="shared" si="16"/>
        <v>8742.49</v>
      </c>
      <c r="G108" s="53">
        <v>6107.7</v>
      </c>
      <c r="H108" s="81">
        <f t="shared" si="17"/>
        <v>0</v>
      </c>
      <c r="I108" s="130"/>
      <c r="J108" s="130"/>
      <c r="K108" s="138"/>
      <c r="L108" s="130"/>
      <c r="M108" s="138"/>
    </row>
    <row r="109" spans="1:13" x14ac:dyDescent="0.25">
      <c r="A109" s="107" t="s">
        <v>67</v>
      </c>
      <c r="B109" s="3"/>
      <c r="C109" s="53">
        <f t="shared" si="15"/>
        <v>11126.82</v>
      </c>
      <c r="D109" s="200">
        <v>7773.44</v>
      </c>
      <c r="E109" s="111" t="s">
        <v>57</v>
      </c>
      <c r="F109" s="53">
        <f t="shared" si="16"/>
        <v>11126.82</v>
      </c>
      <c r="G109" s="53">
        <v>7773.44</v>
      </c>
      <c r="H109" s="81">
        <f t="shared" si="17"/>
        <v>0</v>
      </c>
      <c r="I109" s="130"/>
      <c r="J109" s="130"/>
      <c r="K109" s="138"/>
      <c r="L109" s="130"/>
      <c r="M109" s="138"/>
    </row>
    <row r="110" spans="1:13" x14ac:dyDescent="0.25">
      <c r="A110" s="107" t="s">
        <v>68</v>
      </c>
      <c r="B110" s="3"/>
      <c r="C110" s="53">
        <f t="shared" si="15"/>
        <v>12716.36</v>
      </c>
      <c r="D110" s="200">
        <v>8883.93</v>
      </c>
      <c r="E110" s="111" t="s">
        <v>57</v>
      </c>
      <c r="F110" s="53">
        <f t="shared" si="16"/>
        <v>12716.36</v>
      </c>
      <c r="G110" s="53">
        <v>8883.93</v>
      </c>
      <c r="H110" s="81">
        <f t="shared" si="17"/>
        <v>0</v>
      </c>
      <c r="I110" s="130"/>
      <c r="J110" s="130"/>
      <c r="K110" s="138"/>
      <c r="L110" s="130"/>
      <c r="M110" s="138"/>
    </row>
    <row r="111" spans="1:13" x14ac:dyDescent="0.25">
      <c r="A111" s="107" t="s">
        <v>69</v>
      </c>
      <c r="B111" s="3"/>
      <c r="C111" s="53">
        <f t="shared" si="15"/>
        <v>7947.73</v>
      </c>
      <c r="D111" s="200">
        <v>5552.46</v>
      </c>
      <c r="E111" s="111" t="s">
        <v>57</v>
      </c>
      <c r="F111" s="53">
        <f t="shared" si="16"/>
        <v>7947.73</v>
      </c>
      <c r="G111" s="53">
        <v>5552.46</v>
      </c>
      <c r="H111" s="81">
        <f t="shared" si="17"/>
        <v>0</v>
      </c>
      <c r="I111" s="130"/>
      <c r="J111" s="130"/>
      <c r="K111" s="138"/>
      <c r="L111" s="130"/>
      <c r="M111" s="138"/>
    </row>
    <row r="112" spans="1:13" x14ac:dyDescent="0.25">
      <c r="A112" s="107" t="s">
        <v>70</v>
      </c>
      <c r="B112" s="3"/>
      <c r="C112" s="53">
        <f t="shared" si="15"/>
        <v>9537.27</v>
      </c>
      <c r="D112" s="200">
        <v>6662.95</v>
      </c>
      <c r="E112" s="111" t="s">
        <v>57</v>
      </c>
      <c r="F112" s="53">
        <f t="shared" si="16"/>
        <v>9537.27</v>
      </c>
      <c r="G112" s="53">
        <v>6662.95</v>
      </c>
      <c r="H112" s="81">
        <f t="shared" si="17"/>
        <v>0</v>
      </c>
      <c r="I112" s="130"/>
      <c r="J112" s="130"/>
      <c r="K112" s="138"/>
      <c r="L112" s="130"/>
      <c r="M112" s="138"/>
    </row>
    <row r="113" spans="1:13" x14ac:dyDescent="0.25">
      <c r="A113" s="107" t="s">
        <v>71</v>
      </c>
      <c r="B113" s="3"/>
      <c r="C113" s="53">
        <f t="shared" si="15"/>
        <v>10332.040000000001</v>
      </c>
      <c r="D113" s="200">
        <v>7218.19</v>
      </c>
      <c r="E113" s="111" t="s">
        <v>57</v>
      </c>
      <c r="F113" s="53">
        <f t="shared" si="16"/>
        <v>10332.040000000001</v>
      </c>
      <c r="G113" s="53">
        <v>7218.19</v>
      </c>
      <c r="H113" s="81">
        <f t="shared" si="17"/>
        <v>0</v>
      </c>
      <c r="I113" s="130"/>
      <c r="J113" s="130"/>
      <c r="K113" s="138"/>
      <c r="L113" s="130"/>
      <c r="M113" s="138"/>
    </row>
    <row r="114" spans="1:13" x14ac:dyDescent="0.25">
      <c r="A114" s="107" t="s">
        <v>237</v>
      </c>
      <c r="B114" s="3"/>
      <c r="C114" s="53">
        <f t="shared" si="15"/>
        <v>11921.58</v>
      </c>
      <c r="D114" s="200">
        <v>8328.68</v>
      </c>
      <c r="E114" s="111" t="s">
        <v>57</v>
      </c>
      <c r="F114" s="53">
        <f t="shared" si="16"/>
        <v>11921.58</v>
      </c>
      <c r="G114" s="53">
        <v>8328.68</v>
      </c>
      <c r="H114" s="81">
        <f t="shared" si="17"/>
        <v>0</v>
      </c>
      <c r="I114" s="130"/>
      <c r="J114" s="130"/>
      <c r="K114" s="138"/>
      <c r="L114" s="130"/>
      <c r="M114" s="138"/>
    </row>
    <row r="115" spans="1:13" x14ac:dyDescent="0.25">
      <c r="A115" s="107" t="s">
        <v>238</v>
      </c>
      <c r="B115" s="3"/>
      <c r="C115" s="53">
        <f t="shared" si="15"/>
        <v>14305.89</v>
      </c>
      <c r="D115" s="200">
        <v>9994.41</v>
      </c>
      <c r="E115" s="111" t="s">
        <v>57</v>
      </c>
      <c r="F115" s="53">
        <f t="shared" si="16"/>
        <v>14305.89</v>
      </c>
      <c r="G115" s="53">
        <v>9994.41</v>
      </c>
      <c r="H115" s="81">
        <f t="shared" si="17"/>
        <v>0</v>
      </c>
      <c r="I115" s="130"/>
      <c r="J115" s="130"/>
      <c r="K115" s="138"/>
      <c r="L115" s="130"/>
      <c r="M115" s="138"/>
    </row>
    <row r="116" spans="1:13" x14ac:dyDescent="0.25">
      <c r="A116" s="107" t="s">
        <v>239</v>
      </c>
      <c r="B116" s="3"/>
      <c r="C116" s="53">
        <f t="shared" si="15"/>
        <v>17484.990000000002</v>
      </c>
      <c r="D116" s="200">
        <v>12215.4</v>
      </c>
      <c r="E116" s="111" t="s">
        <v>57</v>
      </c>
      <c r="F116" s="53">
        <f t="shared" si="16"/>
        <v>17484.990000000002</v>
      </c>
      <c r="G116" s="53">
        <v>12215.4</v>
      </c>
      <c r="H116" s="81">
        <f t="shared" si="17"/>
        <v>0</v>
      </c>
      <c r="I116" s="130"/>
      <c r="J116" s="130"/>
      <c r="K116" s="138"/>
      <c r="L116" s="130"/>
      <c r="M116" s="138"/>
    </row>
    <row r="117" spans="1:13" x14ac:dyDescent="0.25">
      <c r="A117" s="107" t="s">
        <v>72</v>
      </c>
      <c r="B117" s="3"/>
      <c r="C117" s="53">
        <f t="shared" si="15"/>
        <v>17484.990000000002</v>
      </c>
      <c r="D117" s="200">
        <v>12215.4</v>
      </c>
      <c r="E117" s="111" t="s">
        <v>57</v>
      </c>
      <c r="F117" s="53">
        <f t="shared" si="16"/>
        <v>17484.990000000002</v>
      </c>
      <c r="G117" s="53">
        <v>12215.4</v>
      </c>
      <c r="H117" s="81">
        <f t="shared" si="17"/>
        <v>0</v>
      </c>
      <c r="I117" s="130"/>
      <c r="J117" s="130"/>
      <c r="K117" s="138"/>
      <c r="L117" s="130"/>
      <c r="M117" s="138"/>
    </row>
    <row r="118" spans="1:13" ht="13" thickBot="1" x14ac:dyDescent="0.3">
      <c r="A118" s="226" t="s">
        <v>73</v>
      </c>
      <c r="B118" s="6"/>
      <c r="C118" s="53">
        <f t="shared" si="15"/>
        <v>19074.55</v>
      </c>
      <c r="D118" s="227">
        <v>13325.9</v>
      </c>
      <c r="E118" s="125" t="s">
        <v>57</v>
      </c>
      <c r="F118" s="53">
        <f t="shared" si="16"/>
        <v>19074.55</v>
      </c>
      <c r="G118" s="228">
        <v>13325.9</v>
      </c>
      <c r="H118" s="82">
        <f t="shared" si="17"/>
        <v>0</v>
      </c>
      <c r="I118" s="130"/>
      <c r="J118" s="130"/>
      <c r="K118" s="138"/>
      <c r="L118" s="130"/>
      <c r="M118" s="138"/>
    </row>
    <row r="119" spans="1:13" ht="13.5" thickBot="1" x14ac:dyDescent="0.35">
      <c r="A119" s="142"/>
      <c r="B119" s="229"/>
      <c r="C119" s="500" t="s">
        <v>413</v>
      </c>
      <c r="D119" s="501"/>
      <c r="E119" s="502"/>
      <c r="F119" s="502"/>
      <c r="G119" s="230"/>
      <c r="H119" s="88">
        <f>SUM(H16:H118)</f>
        <v>0</v>
      </c>
      <c r="I119" s="130"/>
      <c r="J119" s="130"/>
      <c r="K119" s="138"/>
      <c r="L119" s="130"/>
      <c r="M119" s="138"/>
    </row>
    <row r="120" spans="1:13" ht="13" thickBot="1" x14ac:dyDescent="0.3">
      <c r="A120" s="2"/>
      <c r="B120" s="225"/>
      <c r="C120" s="138"/>
      <c r="D120" s="138"/>
      <c r="E120" s="2"/>
      <c r="F120" s="138"/>
      <c r="G120" s="138"/>
      <c r="H120" s="141"/>
      <c r="I120" s="130"/>
      <c r="J120" s="130"/>
      <c r="K120" s="138"/>
      <c r="L120" s="130"/>
      <c r="M120" s="138"/>
    </row>
    <row r="121" spans="1:13" ht="13.5" thickBot="1" x14ac:dyDescent="0.35">
      <c r="A121" s="489" t="s">
        <v>401</v>
      </c>
      <c r="B121" s="490"/>
      <c r="C121" s="490"/>
      <c r="D121" s="490"/>
      <c r="E121" s="490"/>
      <c r="F121" s="490"/>
      <c r="G121" s="490"/>
      <c r="H121" s="491"/>
      <c r="I121" s="130"/>
      <c r="J121" s="130"/>
      <c r="K121" s="138"/>
      <c r="L121" s="130"/>
      <c r="M121" s="138"/>
    </row>
    <row r="122" spans="1:13" ht="13.5" thickBot="1" x14ac:dyDescent="0.35">
      <c r="A122" s="196" t="s">
        <v>0</v>
      </c>
      <c r="B122" s="197" t="s">
        <v>1</v>
      </c>
      <c r="C122" s="482" t="s">
        <v>2</v>
      </c>
      <c r="D122" s="483"/>
      <c r="E122" s="483"/>
      <c r="F122" s="484"/>
      <c r="G122" s="198"/>
      <c r="H122" s="196" t="s">
        <v>3</v>
      </c>
      <c r="I122" s="130"/>
      <c r="J122" s="130"/>
      <c r="K122" s="138"/>
      <c r="L122" s="130"/>
      <c r="M122" s="138"/>
    </row>
    <row r="123" spans="1:13" x14ac:dyDescent="0.25">
      <c r="A123" s="104"/>
      <c r="B123" s="105"/>
      <c r="C123" s="485" t="s">
        <v>63</v>
      </c>
      <c r="D123" s="486"/>
      <c r="E123" s="487"/>
      <c r="F123" s="80" t="s">
        <v>62</v>
      </c>
      <c r="G123" s="146"/>
      <c r="H123" s="106"/>
      <c r="I123" s="130"/>
      <c r="J123" s="130"/>
      <c r="K123" s="138"/>
      <c r="L123" s="130"/>
      <c r="M123" s="138"/>
    </row>
    <row r="124" spans="1:13" ht="13" thickBot="1" x14ac:dyDescent="0.3">
      <c r="A124" s="226" t="s">
        <v>84</v>
      </c>
      <c r="B124" s="6"/>
      <c r="C124" s="53">
        <f>ROUND(CPI*D124,2)</f>
        <v>34435.870000000003</v>
      </c>
      <c r="D124" s="227">
        <v>24057.66</v>
      </c>
      <c r="E124" s="125" t="s">
        <v>57</v>
      </c>
      <c r="F124" s="53">
        <f>ROUND(CPI*G124,2)</f>
        <v>34435.870000000003</v>
      </c>
      <c r="G124" s="227">
        <v>24057.66</v>
      </c>
      <c r="H124" s="82">
        <f>IF($B$141="Yes",B124*F124,B124*C124)</f>
        <v>0</v>
      </c>
      <c r="I124" s="130"/>
      <c r="J124" s="130"/>
      <c r="K124" s="138"/>
      <c r="L124" s="130"/>
      <c r="M124" s="138"/>
    </row>
    <row r="125" spans="1:13" ht="13.5" thickBot="1" x14ac:dyDescent="0.35">
      <c r="A125" s="142"/>
      <c r="B125" s="142"/>
      <c r="C125" s="503" t="s">
        <v>403</v>
      </c>
      <c r="D125" s="504"/>
      <c r="E125" s="505"/>
      <c r="F125" s="506"/>
      <c r="G125" s="231"/>
      <c r="H125" s="89">
        <f>SUM(H124)</f>
        <v>0</v>
      </c>
      <c r="I125" s="130"/>
      <c r="J125" s="130"/>
      <c r="K125" s="138"/>
      <c r="L125" s="130"/>
      <c r="M125" s="138"/>
    </row>
    <row r="126" spans="1:13" ht="13.5" thickBot="1" x14ac:dyDescent="0.35">
      <c r="A126" s="240"/>
      <c r="B126" s="142"/>
      <c r="C126" s="142"/>
      <c r="D126" s="142"/>
      <c r="E126" s="142"/>
      <c r="F126" s="142"/>
      <c r="G126" s="142"/>
      <c r="H126" s="141"/>
      <c r="I126" s="130"/>
      <c r="J126" s="130"/>
      <c r="K126" s="138"/>
      <c r="L126" s="130"/>
      <c r="M126" s="138"/>
    </row>
    <row r="127" spans="1:13" ht="13.5" thickBot="1" x14ac:dyDescent="0.35">
      <c r="A127" s="488" t="s">
        <v>402</v>
      </c>
      <c r="B127" s="480"/>
      <c r="C127" s="480"/>
      <c r="D127" s="480"/>
      <c r="E127" s="480"/>
      <c r="F127" s="480"/>
      <c r="G127" s="480"/>
      <c r="H127" s="481"/>
      <c r="I127" s="130"/>
      <c r="J127" s="130"/>
      <c r="K127" s="138"/>
      <c r="L127" s="130"/>
      <c r="M127" s="138"/>
    </row>
    <row r="128" spans="1:13" ht="13.5" thickBot="1" x14ac:dyDescent="0.35">
      <c r="A128" s="196" t="s">
        <v>0</v>
      </c>
      <c r="B128" s="197" t="s">
        <v>1</v>
      </c>
      <c r="C128" s="482" t="s">
        <v>2</v>
      </c>
      <c r="D128" s="483"/>
      <c r="E128" s="483"/>
      <c r="F128" s="484"/>
      <c r="G128" s="198"/>
      <c r="H128" s="196" t="s">
        <v>3</v>
      </c>
      <c r="I128" s="130"/>
      <c r="J128" s="130"/>
      <c r="K128" s="138"/>
      <c r="L128" s="130"/>
      <c r="M128" s="138"/>
    </row>
    <row r="129" spans="1:12" x14ac:dyDescent="0.25">
      <c r="A129" s="104"/>
      <c r="B129" s="105"/>
      <c r="C129" s="485" t="s">
        <v>63</v>
      </c>
      <c r="D129" s="486"/>
      <c r="E129" s="487"/>
      <c r="F129" s="80" t="s">
        <v>62</v>
      </c>
      <c r="G129" s="146"/>
      <c r="H129" s="106"/>
      <c r="I129" s="130"/>
      <c r="J129" s="130"/>
      <c r="K129" s="138"/>
      <c r="L129" s="130"/>
    </row>
    <row r="130" spans="1:12" ht="13" thickBot="1" x14ac:dyDescent="0.3">
      <c r="A130" s="226" t="s">
        <v>34</v>
      </c>
      <c r="B130" s="6"/>
      <c r="C130" s="53">
        <f>ROUND(CPI*D130,2)</f>
        <v>311.68</v>
      </c>
      <c r="D130" s="227">
        <v>217.75</v>
      </c>
      <c r="E130" s="125" t="s">
        <v>58</v>
      </c>
      <c r="F130" s="53">
        <f>ROUND(CPI*G130,2)</f>
        <v>317.91000000000003</v>
      </c>
      <c r="G130" s="228">
        <v>222.1</v>
      </c>
      <c r="H130" s="82">
        <f>IF($B$141="Yes",B130*F130,B130*C130)</f>
        <v>0</v>
      </c>
      <c r="I130" s="130"/>
      <c r="J130" s="130"/>
      <c r="K130" s="138"/>
      <c r="L130" s="130"/>
    </row>
    <row r="131" spans="1:12" ht="13.5" thickBot="1" x14ac:dyDescent="0.35">
      <c r="A131" s="142"/>
      <c r="B131" s="142"/>
      <c r="C131" s="507" t="s">
        <v>404</v>
      </c>
      <c r="D131" s="508"/>
      <c r="E131" s="508"/>
      <c r="F131" s="509"/>
      <c r="G131" s="232"/>
      <c r="H131" s="90">
        <f>SUM(H130)</f>
        <v>0</v>
      </c>
      <c r="I131" s="130"/>
      <c r="J131" s="130"/>
      <c r="K131" s="138"/>
      <c r="L131" s="130"/>
    </row>
    <row r="132" spans="1:12" ht="13" thickBot="1" x14ac:dyDescent="0.3">
      <c r="A132" s="252"/>
      <c r="B132" s="225"/>
      <c r="C132" s="138"/>
      <c r="D132" s="138"/>
      <c r="E132" s="2"/>
      <c r="F132" s="138"/>
      <c r="G132" s="138"/>
      <c r="H132" s="141"/>
      <c r="I132" s="130"/>
      <c r="J132" s="130"/>
      <c r="K132" s="138"/>
      <c r="L132" s="130"/>
    </row>
    <row r="133" spans="1:12" ht="13.5" thickBot="1" x14ac:dyDescent="0.35">
      <c r="A133" s="488" t="s">
        <v>400</v>
      </c>
      <c r="B133" s="480"/>
      <c r="C133" s="480"/>
      <c r="D133" s="480"/>
      <c r="E133" s="480"/>
      <c r="F133" s="480"/>
      <c r="G133" s="480"/>
      <c r="H133" s="481"/>
      <c r="I133" s="130"/>
      <c r="J133" s="130"/>
      <c r="K133" s="138"/>
      <c r="L133" s="130"/>
    </row>
    <row r="134" spans="1:12" ht="13.5" thickBot="1" x14ac:dyDescent="0.35">
      <c r="A134" s="196" t="s">
        <v>0</v>
      </c>
      <c r="B134" s="197" t="s">
        <v>1</v>
      </c>
      <c r="C134" s="482" t="s">
        <v>2</v>
      </c>
      <c r="D134" s="483"/>
      <c r="E134" s="483"/>
      <c r="F134" s="484"/>
      <c r="G134" s="198"/>
      <c r="H134" s="196" t="s">
        <v>3</v>
      </c>
      <c r="I134" s="130"/>
      <c r="J134" s="130"/>
      <c r="K134" s="138"/>
      <c r="L134" s="130"/>
    </row>
    <row r="135" spans="1:12" ht="13" x14ac:dyDescent="0.3">
      <c r="A135" s="199" t="s">
        <v>387</v>
      </c>
      <c r="B135" s="113"/>
      <c r="C135" s="58"/>
      <c r="D135" s="58"/>
      <c r="E135" s="233"/>
      <c r="F135" s="234"/>
      <c r="G135" s="235"/>
      <c r="H135" s="81">
        <f>SUM('Signing and Striping'!H17:H21)</f>
        <v>0</v>
      </c>
      <c r="I135" s="130"/>
      <c r="J135" s="130"/>
      <c r="K135" s="138"/>
      <c r="L135" s="130"/>
    </row>
    <row r="136" spans="1:12" x14ac:dyDescent="0.25">
      <c r="A136" s="236"/>
      <c r="B136" s="225"/>
      <c r="C136" s="237"/>
      <c r="D136" s="237"/>
      <c r="E136" s="2"/>
      <c r="F136" s="130"/>
      <c r="G136" s="130"/>
      <c r="H136" s="238"/>
      <c r="I136" s="130"/>
      <c r="J136" s="130"/>
      <c r="K136" s="138"/>
      <c r="L136" s="130"/>
    </row>
    <row r="137" spans="1:12" ht="13" x14ac:dyDescent="0.3">
      <c r="A137" s="199" t="s">
        <v>341</v>
      </c>
      <c r="B137" s="113"/>
      <c r="C137" s="58"/>
      <c r="D137" s="58"/>
      <c r="E137" s="233"/>
      <c r="F137" s="54"/>
      <c r="G137" s="239"/>
      <c r="H137" s="81">
        <f>SUM('Signing and Striping'!H24:H81)</f>
        <v>0</v>
      </c>
      <c r="I137" s="130"/>
      <c r="J137" s="130"/>
      <c r="K137" s="138"/>
      <c r="L137" s="130"/>
    </row>
    <row r="138" spans="1:12" ht="13.5" thickBot="1" x14ac:dyDescent="0.35">
      <c r="A138" s="142"/>
      <c r="B138" s="142"/>
      <c r="C138" s="510" t="s">
        <v>405</v>
      </c>
      <c r="D138" s="511"/>
      <c r="E138" s="511"/>
      <c r="F138" s="512"/>
      <c r="G138" s="240"/>
      <c r="H138" s="83">
        <f>'Signing and Striping'!H82</f>
        <v>0</v>
      </c>
      <c r="I138" s="130"/>
      <c r="J138" s="130"/>
      <c r="K138" s="138"/>
      <c r="L138" s="130"/>
    </row>
    <row r="139" spans="1:12" ht="13.5" thickBot="1" x14ac:dyDescent="0.35">
      <c r="A139" s="142"/>
      <c r="B139" s="142"/>
      <c r="C139" s="142"/>
      <c r="D139" s="142"/>
      <c r="E139" s="142"/>
      <c r="F139" s="142"/>
      <c r="G139" s="142"/>
      <c r="H139" s="141"/>
      <c r="I139" s="130"/>
      <c r="J139" s="130"/>
      <c r="K139" s="138"/>
      <c r="L139" s="130"/>
    </row>
    <row r="140" spans="1:12" ht="13.5" thickBot="1" x14ac:dyDescent="0.35">
      <c r="C140" s="241"/>
      <c r="D140" s="242"/>
      <c r="E140" s="242"/>
      <c r="F140" s="231" t="s">
        <v>408</v>
      </c>
      <c r="G140" s="231"/>
      <c r="H140" s="88">
        <f>H119+H125+H131+H138</f>
        <v>0</v>
      </c>
      <c r="I140" s="130">
        <f>H140-SUM(H106:H118)</f>
        <v>0</v>
      </c>
      <c r="J140" s="130"/>
      <c r="K140" s="138"/>
      <c r="L140" s="130"/>
    </row>
    <row r="141" spans="1:12" ht="13" thickBot="1" x14ac:dyDescent="0.3">
      <c r="A141" s="243" t="s">
        <v>411</v>
      </c>
      <c r="B141" s="7"/>
      <c r="C141" s="138"/>
      <c r="D141" s="138"/>
      <c r="E141" s="138"/>
      <c r="F141" s="127"/>
      <c r="G141" s="127"/>
      <c r="H141" s="141"/>
      <c r="I141" s="130"/>
      <c r="J141" s="130"/>
      <c r="K141" s="138"/>
      <c r="L141" s="130"/>
    </row>
    <row r="142" spans="1:12" ht="13.5" thickBot="1" x14ac:dyDescent="0.35">
      <c r="A142" s="479" t="s">
        <v>414</v>
      </c>
      <c r="B142" s="480"/>
      <c r="C142" s="480"/>
      <c r="D142" s="480"/>
      <c r="E142" s="480"/>
      <c r="F142" s="480"/>
      <c r="G142" s="480"/>
      <c r="H142" s="481"/>
      <c r="I142" s="130"/>
      <c r="J142" s="130"/>
      <c r="K142" s="138"/>
      <c r="L142" s="130"/>
    </row>
    <row r="143" spans="1:12" ht="13" thickBot="1" x14ac:dyDescent="0.3">
      <c r="A143" s="243" t="s">
        <v>412</v>
      </c>
      <c r="B143" s="7"/>
      <c r="C143" s="244"/>
      <c r="D143" s="244"/>
      <c r="E143" s="216"/>
      <c r="F143" s="127" t="s">
        <v>406</v>
      </c>
      <c r="G143" s="127"/>
      <c r="H143" s="81">
        <f>IF($B$143="Yes",0.05*I140,0)</f>
        <v>0</v>
      </c>
      <c r="I143" s="130"/>
      <c r="J143" s="130"/>
      <c r="K143" s="138"/>
      <c r="L143" s="130"/>
    </row>
    <row r="144" spans="1:12" x14ac:dyDescent="0.25">
      <c r="A144" s="245"/>
      <c r="B144" s="246"/>
      <c r="C144" s="244"/>
      <c r="D144" s="244"/>
      <c r="E144" s="138"/>
      <c r="F144" s="127" t="s">
        <v>407</v>
      </c>
      <c r="G144" s="127"/>
      <c r="H144" s="81">
        <f>0.15*(I140+H143)</f>
        <v>0</v>
      </c>
      <c r="I144" s="130"/>
      <c r="J144" s="130"/>
      <c r="K144" s="138"/>
      <c r="L144" s="130"/>
    </row>
    <row r="145" spans="1:14" x14ac:dyDescent="0.25">
      <c r="A145" s="247"/>
      <c r="B145" s="101"/>
      <c r="C145" s="138"/>
      <c r="D145" s="138"/>
      <c r="E145" s="138"/>
      <c r="F145" s="127" t="s">
        <v>409</v>
      </c>
      <c r="G145" s="127"/>
      <c r="H145" s="81">
        <f>0.12*(I140+H143+H144)</f>
        <v>0</v>
      </c>
      <c r="I145" s="130"/>
      <c r="J145" s="130"/>
      <c r="K145" s="138"/>
      <c r="L145" s="130"/>
    </row>
    <row r="146" spans="1:14" x14ac:dyDescent="0.25">
      <c r="A146" s="201"/>
      <c r="B146" s="101"/>
      <c r="C146" s="138"/>
      <c r="D146" s="138"/>
      <c r="E146" s="138"/>
      <c r="F146" s="127" t="s">
        <v>410</v>
      </c>
      <c r="G146" s="127"/>
      <c r="H146" s="81">
        <f>SUM(H141:H145)+I140</f>
        <v>0</v>
      </c>
      <c r="I146" s="130"/>
      <c r="J146" s="130"/>
      <c r="K146" s="138"/>
      <c r="L146" s="130"/>
    </row>
    <row r="147" spans="1:14" ht="13" thickBot="1" x14ac:dyDescent="0.3">
      <c r="A147" s="201"/>
      <c r="B147" s="101"/>
      <c r="C147" s="138"/>
      <c r="D147" s="138"/>
      <c r="E147" s="138"/>
      <c r="F147" s="127" t="s">
        <v>424</v>
      </c>
      <c r="G147" s="127"/>
      <c r="H147" s="82">
        <f>IF(I140&gt;1,(IF((I140+H144)&lt;$H$197,$B$196,IF((I140+H144)&lt;$H$198,$B$197+($E$197*((I140+H144)-$H$197)),IF((I140+H144)&lt;$H$199,$B$198+($E$198*((I140+H144)-$H$198)),IF((I140+H144)&lt;$H$200,$B$199+($E$199*((I140+H144)-$H$199)),$B$200+($E$200*((I140+H144)-$H$200))))))),0)</f>
        <v>0</v>
      </c>
      <c r="I147" s="130"/>
      <c r="J147" s="130"/>
      <c r="K147" s="138"/>
      <c r="L147" s="130"/>
      <c r="N147" s="141"/>
    </row>
    <row r="148" spans="1:14" ht="13.5" thickBot="1" x14ac:dyDescent="0.35">
      <c r="A148" s="201"/>
      <c r="B148" s="101"/>
      <c r="C148" s="138"/>
      <c r="D148" s="138"/>
      <c r="E148" s="138"/>
      <c r="F148" s="131" t="s">
        <v>417</v>
      </c>
      <c r="G148" s="131"/>
      <c r="H148" s="91">
        <f>ROUNDUP(H146+H147,-2)</f>
        <v>0</v>
      </c>
      <c r="I148" s="130"/>
      <c r="J148" s="130"/>
      <c r="K148" s="138"/>
      <c r="L148" s="130"/>
    </row>
    <row r="149" spans="1:14" ht="13" thickBot="1" x14ac:dyDescent="0.3">
      <c r="A149" s="248"/>
      <c r="B149" s="249"/>
      <c r="C149" s="250"/>
      <c r="D149" s="250"/>
      <c r="E149" s="251"/>
      <c r="F149" s="252"/>
      <c r="G149" s="252"/>
      <c r="H149" s="253" t="s">
        <v>250</v>
      </c>
      <c r="I149" s="130"/>
      <c r="J149" s="130"/>
      <c r="K149" s="138"/>
      <c r="L149" s="130"/>
    </row>
    <row r="150" spans="1:14" ht="13" thickBot="1" x14ac:dyDescent="0.3">
      <c r="A150" s="2"/>
      <c r="B150" s="101"/>
      <c r="C150" s="100"/>
      <c r="D150" s="100"/>
      <c r="E150" s="132"/>
      <c r="F150" s="2"/>
      <c r="G150" s="2"/>
      <c r="H150" s="133"/>
      <c r="I150" s="130"/>
      <c r="J150" s="130"/>
      <c r="K150" s="138"/>
      <c r="L150" s="130"/>
    </row>
    <row r="151" spans="1:14" ht="13.5" thickBot="1" x14ac:dyDescent="0.35">
      <c r="A151" s="479" t="s">
        <v>415</v>
      </c>
      <c r="B151" s="480"/>
      <c r="C151" s="480"/>
      <c r="D151" s="480"/>
      <c r="E151" s="480"/>
      <c r="F151" s="480"/>
      <c r="G151" s="480"/>
      <c r="H151" s="481"/>
      <c r="I151" s="130"/>
      <c r="J151" s="130"/>
      <c r="K151" s="138"/>
      <c r="L151" s="130"/>
    </row>
    <row r="152" spans="1:14" ht="13.5" thickBot="1" x14ac:dyDescent="0.35">
      <c r="A152" s="196" t="s">
        <v>0</v>
      </c>
      <c r="B152" s="197" t="s">
        <v>1</v>
      </c>
      <c r="C152" s="482" t="s">
        <v>2</v>
      </c>
      <c r="D152" s="483"/>
      <c r="E152" s="483"/>
      <c r="F152" s="484"/>
      <c r="G152" s="198"/>
      <c r="H152" s="196" t="s">
        <v>3</v>
      </c>
      <c r="I152" s="130"/>
      <c r="J152" s="130"/>
      <c r="K152" s="138"/>
      <c r="L152" s="130"/>
    </row>
    <row r="153" spans="1:14" x14ac:dyDescent="0.25">
      <c r="A153" s="104"/>
      <c r="B153" s="105"/>
      <c r="C153" s="485" t="s">
        <v>63</v>
      </c>
      <c r="D153" s="486"/>
      <c r="E153" s="487"/>
      <c r="F153" s="80" t="s">
        <v>62</v>
      </c>
      <c r="G153" s="146"/>
      <c r="H153" s="106"/>
      <c r="I153" s="130"/>
      <c r="J153" s="130"/>
      <c r="K153" s="138"/>
      <c r="L153" s="130"/>
    </row>
    <row r="154" spans="1:14" x14ac:dyDescent="0.25">
      <c r="A154" s="107" t="s">
        <v>416</v>
      </c>
      <c r="B154" s="8"/>
      <c r="C154" s="53">
        <f>ROUND(CPI*D154,2)</f>
        <v>794.01</v>
      </c>
      <c r="D154" s="254">
        <v>554.71</v>
      </c>
      <c r="E154" s="233" t="s">
        <v>57</v>
      </c>
      <c r="F154" s="53">
        <f>ROUND(CPI*G154,2)</f>
        <v>794.01</v>
      </c>
      <c r="G154" s="254">
        <v>554.71</v>
      </c>
      <c r="H154" s="51">
        <f>IF($B$141="YES",B154*F154,B154*C154)</f>
        <v>0</v>
      </c>
      <c r="I154" s="130"/>
      <c r="J154" s="130"/>
      <c r="K154" s="138"/>
      <c r="L154" s="130"/>
    </row>
    <row r="155" spans="1:14" x14ac:dyDescent="0.25">
      <c r="A155" s="201"/>
      <c r="B155" s="2"/>
      <c r="C155" s="2"/>
      <c r="D155" s="2"/>
      <c r="E155" s="2"/>
      <c r="F155" s="2"/>
      <c r="G155" s="2"/>
      <c r="H155" s="204"/>
      <c r="I155" s="2"/>
      <c r="J155" s="2"/>
    </row>
    <row r="156" spans="1:14" x14ac:dyDescent="0.25">
      <c r="A156" s="201"/>
      <c r="B156" s="138"/>
      <c r="C156" s="138"/>
      <c r="D156" s="138"/>
      <c r="E156" s="127"/>
      <c r="F156" s="133" t="s">
        <v>418</v>
      </c>
      <c r="G156" s="133"/>
      <c r="H156" s="51">
        <f>H154</f>
        <v>0</v>
      </c>
      <c r="I156" s="2"/>
      <c r="J156" s="2"/>
    </row>
    <row r="157" spans="1:14" x14ac:dyDescent="0.25">
      <c r="A157" s="201"/>
      <c r="B157" s="244"/>
      <c r="C157" s="138"/>
      <c r="D157" s="138"/>
      <c r="E157" s="216"/>
      <c r="F157" s="127" t="s">
        <v>419</v>
      </c>
      <c r="G157" s="127"/>
      <c r="H157" s="51">
        <f>(0.15*H156)</f>
        <v>0</v>
      </c>
      <c r="I157" s="2"/>
      <c r="J157" s="2"/>
    </row>
    <row r="158" spans="1:14" x14ac:dyDescent="0.25">
      <c r="A158" s="201"/>
      <c r="B158" s="138"/>
      <c r="C158" s="138"/>
      <c r="D158" s="138"/>
      <c r="E158" s="216"/>
      <c r="F158" s="127" t="s">
        <v>420</v>
      </c>
      <c r="G158" s="127"/>
      <c r="H158" s="51">
        <f>0.12*(H156+H157)</f>
        <v>0</v>
      </c>
      <c r="I158" s="2"/>
      <c r="J158" s="2"/>
    </row>
    <row r="159" spans="1:14" x14ac:dyDescent="0.25">
      <c r="A159" s="201"/>
      <c r="B159" s="138"/>
      <c r="C159" s="138"/>
      <c r="D159" s="138"/>
      <c r="E159" s="216"/>
      <c r="F159" s="127" t="s">
        <v>421</v>
      </c>
      <c r="G159" s="127"/>
      <c r="H159" s="51">
        <f>SUM(H156:H158)</f>
        <v>0</v>
      </c>
      <c r="I159" s="2"/>
      <c r="J159" s="2"/>
    </row>
    <row r="160" spans="1:14" ht="13" thickBot="1" x14ac:dyDescent="0.3">
      <c r="A160" s="201"/>
      <c r="B160" s="138"/>
      <c r="C160" s="138"/>
      <c r="D160" s="138"/>
      <c r="E160" s="216"/>
      <c r="F160" s="127" t="s">
        <v>425</v>
      </c>
      <c r="G160" s="127"/>
      <c r="H160" s="92">
        <f>IF(H156&gt;1,(IF((H156+H157)&lt;$H$197,$B$196,IF((H156+H157)&lt;$H$198,$B$197+($E$197*((H156+H157)-$H$197)),IF((H156+H157)&lt;$H$199,$B$198+($E$198*((H156+H157)-$H$198)),IF((H156+H157)&lt;$H$200,$B$199+($E$199*((H156+H157)-$H$199)),$B$200+($E$200*((H156+H157)-$H$200))))))),0)</f>
        <v>0</v>
      </c>
      <c r="I160" s="2"/>
      <c r="J160" s="2"/>
    </row>
    <row r="161" spans="1:12" ht="13.5" thickBot="1" x14ac:dyDescent="0.35">
      <c r="A161" s="201"/>
      <c r="B161" s="138"/>
      <c r="C161" s="138"/>
      <c r="D161" s="138"/>
      <c r="E161" s="216"/>
      <c r="F161" s="131" t="s">
        <v>422</v>
      </c>
      <c r="G161" s="131"/>
      <c r="H161" s="93">
        <f>ROUNDUP(H159+H160,-2)</f>
        <v>0</v>
      </c>
      <c r="I161" s="2"/>
      <c r="J161" s="2"/>
    </row>
    <row r="162" spans="1:12" ht="13" thickBot="1" x14ac:dyDescent="0.3">
      <c r="A162" s="248"/>
      <c r="B162" s="250"/>
      <c r="C162" s="250"/>
      <c r="D162" s="250"/>
      <c r="E162" s="255"/>
      <c r="F162" s="256"/>
      <c r="G162" s="256"/>
      <c r="H162" s="253" t="s">
        <v>250</v>
      </c>
      <c r="I162" s="2"/>
      <c r="J162" s="2"/>
    </row>
    <row r="163" spans="1:12" ht="13" thickBot="1" x14ac:dyDescent="0.3">
      <c r="A163" s="2"/>
      <c r="B163" s="101"/>
      <c r="C163" s="138"/>
      <c r="D163" s="138"/>
      <c r="E163" s="138"/>
      <c r="F163" s="117"/>
      <c r="G163" s="117"/>
      <c r="H163" s="2"/>
      <c r="I163" s="2"/>
      <c r="J163" s="2"/>
    </row>
    <row r="164" spans="1:12" ht="13.5" thickBot="1" x14ac:dyDescent="0.35">
      <c r="A164" s="479" t="s">
        <v>98</v>
      </c>
      <c r="B164" s="480"/>
      <c r="C164" s="480"/>
      <c r="D164" s="480"/>
      <c r="E164" s="480"/>
      <c r="F164" s="480"/>
      <c r="G164" s="480"/>
      <c r="H164" s="481"/>
      <c r="I164" s="2"/>
      <c r="J164" s="2"/>
    </row>
    <row r="165" spans="1:12" ht="13" x14ac:dyDescent="0.3">
      <c r="A165" s="257"/>
      <c r="B165" s="258"/>
      <c r="C165" s="258"/>
      <c r="D165" s="258"/>
      <c r="E165" s="127" t="s">
        <v>496</v>
      </c>
      <c r="F165" s="30"/>
      <c r="G165" s="259"/>
      <c r="H165" s="94">
        <v>0</v>
      </c>
      <c r="I165" s="2"/>
      <c r="J165" s="2"/>
    </row>
    <row r="166" spans="1:12" ht="13.5" customHeight="1" thickBot="1" x14ac:dyDescent="0.3">
      <c r="A166" s="260"/>
      <c r="B166"/>
      <c r="C166"/>
      <c r="D166"/>
      <c r="E166" s="261"/>
      <c r="F166" s="127" t="s">
        <v>492</v>
      </c>
      <c r="G166" s="127"/>
      <c r="H166" s="81">
        <f>H119+0.15*H119</f>
        <v>0</v>
      </c>
      <c r="I166" s="2"/>
      <c r="J166" s="2"/>
    </row>
    <row r="167" spans="1:12" ht="13.5" thickBot="1" x14ac:dyDescent="0.35">
      <c r="A167" s="248"/>
      <c r="B167" s="249"/>
      <c r="C167" s="250"/>
      <c r="D167" s="250"/>
      <c r="E167" s="262"/>
      <c r="F167" s="240" t="s">
        <v>495</v>
      </c>
      <c r="G167" s="240"/>
      <c r="H167" s="95">
        <f>ROUND(IF(H166&gt;1,IF(H166&lt;10001,IF(H166&lt;5001,B184+H165,B184+E184*(H166-H184)+H165),IF(H166&lt;100001,B185+E185*(H166-H185)+H165,B186+E186*(H166-H186)+H165)),0),0)</f>
        <v>0</v>
      </c>
      <c r="I167" s="2"/>
      <c r="J167" s="2"/>
    </row>
    <row r="168" spans="1:12" ht="13" x14ac:dyDescent="0.25">
      <c r="A168" s="192" t="s">
        <v>568</v>
      </c>
      <c r="B168" s="229"/>
      <c r="C168" s="229"/>
      <c r="D168" s="229"/>
      <c r="E168" s="229"/>
      <c r="F168" s="263"/>
      <c r="G168" s="2"/>
      <c r="H168" s="154"/>
      <c r="I168" s="2"/>
      <c r="J168" s="2"/>
    </row>
    <row r="169" spans="1:12" ht="13.5" thickBot="1" x14ac:dyDescent="0.3">
      <c r="A169" s="451"/>
      <c r="B169"/>
      <c r="C169"/>
      <c r="D169"/>
      <c r="E169"/>
      <c r="F169" s="79"/>
      <c r="G169" s="79"/>
      <c r="H169" s="452"/>
    </row>
    <row r="170" spans="1:12" ht="13.5" thickBot="1" x14ac:dyDescent="0.35">
      <c r="A170" s="495" t="s">
        <v>552</v>
      </c>
      <c r="B170" s="496"/>
      <c r="C170" s="496"/>
      <c r="D170" s="496"/>
      <c r="E170" s="496"/>
      <c r="F170" s="496"/>
      <c r="G170" s="496"/>
      <c r="H170" s="497"/>
      <c r="I170" s="2"/>
      <c r="J170" s="2"/>
    </row>
    <row r="171" spans="1:12" ht="13.5" thickBot="1" x14ac:dyDescent="0.35">
      <c r="A171" s="492" t="s">
        <v>0</v>
      </c>
      <c r="B171" s="493"/>
      <c r="C171" s="493"/>
      <c r="D171" s="493"/>
      <c r="E171" s="493"/>
      <c r="F171" s="494"/>
      <c r="G171" s="229"/>
      <c r="H171" s="433" t="s">
        <v>1</v>
      </c>
      <c r="I171" s="2"/>
      <c r="J171" s="2"/>
    </row>
    <row r="172" spans="1:12" ht="13" thickBot="1" x14ac:dyDescent="0.3">
      <c r="A172" s="434"/>
      <c r="B172" s="229"/>
      <c r="C172" s="229"/>
      <c r="D172" s="229"/>
      <c r="E172" s="229"/>
      <c r="F172" s="435" t="s">
        <v>553</v>
      </c>
      <c r="H172" s="457"/>
      <c r="I172" s="2"/>
      <c r="J172" s="2"/>
    </row>
    <row r="173" spans="1:12" ht="13" thickBot="1" x14ac:dyDescent="0.3">
      <c r="A173" s="436"/>
      <c r="B173" s="437"/>
      <c r="C173" s="437"/>
      <c r="D173" s="437"/>
      <c r="E173" s="437"/>
      <c r="F173" s="438" t="s">
        <v>554</v>
      </c>
      <c r="G173" s="372"/>
      <c r="H173" s="453"/>
      <c r="I173" s="2"/>
      <c r="J173" s="2"/>
      <c r="L173" s="2"/>
    </row>
    <row r="174" spans="1:12" x14ac:dyDescent="0.25">
      <c r="A174" s="439"/>
      <c r="B174" s="36"/>
      <c r="C174" s="36"/>
      <c r="D174" s="36"/>
      <c r="E174" s="36"/>
      <c r="F174" s="36"/>
      <c r="G174" s="36"/>
      <c r="H174" s="440"/>
      <c r="I174" s="2"/>
      <c r="J174" s="2"/>
    </row>
    <row r="175" spans="1:12" ht="14.5" x14ac:dyDescent="0.35">
      <c r="A175" s="439"/>
      <c r="B175" s="441"/>
      <c r="C175" s="441"/>
      <c r="D175" s="441"/>
      <c r="E175" s="454"/>
      <c r="F175" s="455" t="s">
        <v>555</v>
      </c>
      <c r="H175" s="442">
        <f>423*H172</f>
        <v>0</v>
      </c>
      <c r="I175" s="2"/>
      <c r="J175" s="2"/>
    </row>
    <row r="176" spans="1:12" x14ac:dyDescent="0.25">
      <c r="A176" s="439"/>
      <c r="B176" s="443"/>
      <c r="C176" s="441"/>
      <c r="D176" s="441"/>
      <c r="E176" s="444"/>
      <c r="F176" s="454" t="s">
        <v>556</v>
      </c>
      <c r="G176" s="454"/>
      <c r="H176" s="442">
        <f>(0.15*H173)</f>
        <v>0</v>
      </c>
      <c r="I176" s="2"/>
      <c r="J176" s="2"/>
    </row>
    <row r="177" spans="1:10" x14ac:dyDescent="0.25">
      <c r="A177" s="439"/>
      <c r="B177" s="441"/>
      <c r="C177" s="441"/>
      <c r="D177" s="441"/>
      <c r="E177" s="444"/>
      <c r="F177" s="454" t="s">
        <v>557</v>
      </c>
      <c r="G177" s="454"/>
      <c r="H177" s="442">
        <f>H176+H173</f>
        <v>0</v>
      </c>
      <c r="I177" s="2"/>
      <c r="J177" s="2"/>
    </row>
    <row r="178" spans="1:10" ht="13" x14ac:dyDescent="0.3">
      <c r="A178" s="439"/>
      <c r="B178" s="441"/>
      <c r="C178" s="441"/>
      <c r="D178" s="441"/>
      <c r="E178" s="444"/>
      <c r="F178" s="456" t="s">
        <v>558</v>
      </c>
      <c r="G178" s="454"/>
      <c r="H178" s="445">
        <f>ROUNDUP(H177*0.06,-3)</f>
        <v>0</v>
      </c>
    </row>
    <row r="179" spans="1:10" ht="13" thickBot="1" x14ac:dyDescent="0.3">
      <c r="A179" s="446"/>
      <c r="B179" s="447"/>
      <c r="C179" s="447"/>
      <c r="D179" s="447"/>
      <c r="E179" s="448"/>
      <c r="F179" s="449"/>
      <c r="G179" s="449"/>
      <c r="H179" s="450" t="s">
        <v>559</v>
      </c>
      <c r="I179" s="2"/>
      <c r="J179" s="2"/>
    </row>
    <row r="180" spans="1:10" ht="13" thickBot="1" x14ac:dyDescent="0.3">
      <c r="A180" s="215"/>
      <c r="C180" s="264"/>
      <c r="D180" s="264"/>
      <c r="E180" s="264"/>
      <c r="H180" s="217"/>
      <c r="I180" s="2"/>
      <c r="J180" s="2"/>
    </row>
    <row r="181" spans="1:10" ht="13" thickBot="1" x14ac:dyDescent="0.3">
      <c r="A181" s="265"/>
      <c r="B181" s="266" t="s">
        <v>248</v>
      </c>
      <c r="C181" s="267"/>
      <c r="D181" s="267"/>
      <c r="E181" s="267"/>
      <c r="F181" s="267"/>
      <c r="G181" s="267"/>
      <c r="H181" s="268"/>
      <c r="I181" s="2"/>
      <c r="J181" s="2"/>
    </row>
    <row r="182" spans="1:10" ht="15.5" x14ac:dyDescent="0.25">
      <c r="A182" s="269" t="s">
        <v>493</v>
      </c>
      <c r="C182" s="270" t="s">
        <v>494</v>
      </c>
      <c r="D182" s="270"/>
      <c r="E182" s="271"/>
      <c r="F182" s="271"/>
      <c r="G182" s="271"/>
      <c r="H182" s="217"/>
      <c r="I182" s="2"/>
      <c r="J182" s="2"/>
    </row>
    <row r="183" spans="1:10" ht="15.5" x14ac:dyDescent="0.25">
      <c r="A183" s="269"/>
      <c r="C183" s="271"/>
      <c r="D183" s="271"/>
      <c r="E183" s="271"/>
      <c r="F183" s="271"/>
      <c r="G183" s="271"/>
      <c r="H183" s="217"/>
      <c r="I183" s="2"/>
      <c r="J183" s="2"/>
    </row>
    <row r="184" spans="1:10" ht="15.5" x14ac:dyDescent="0.35">
      <c r="A184" s="272" t="s">
        <v>334</v>
      </c>
      <c r="B184" s="431">
        <v>2281</v>
      </c>
      <c r="C184" s="168" t="s">
        <v>244</v>
      </c>
      <c r="D184" s="168"/>
      <c r="E184" s="193">
        <v>0.36930000000000002</v>
      </c>
      <c r="F184" s="273" t="s">
        <v>207</v>
      </c>
      <c r="G184" s="273"/>
      <c r="H184" s="274">
        <v>5000</v>
      </c>
      <c r="I184" s="2"/>
      <c r="J184" s="2"/>
    </row>
    <row r="185" spans="1:10" ht="15.5" x14ac:dyDescent="0.35">
      <c r="A185" s="272" t="s">
        <v>335</v>
      </c>
      <c r="B185" s="431">
        <v>4128</v>
      </c>
      <c r="C185" s="168" t="s">
        <v>244</v>
      </c>
      <c r="D185" s="168"/>
      <c r="E185" s="194">
        <v>0.16389999999999999</v>
      </c>
      <c r="F185" s="273" t="s">
        <v>207</v>
      </c>
      <c r="G185" s="273"/>
      <c r="H185" s="274">
        <v>10000</v>
      </c>
      <c r="I185" s="2"/>
      <c r="J185" s="2"/>
    </row>
    <row r="186" spans="1:10" ht="16" thickBot="1" x14ac:dyDescent="0.3">
      <c r="A186" s="275" t="s">
        <v>252</v>
      </c>
      <c r="B186" s="432">
        <v>18879</v>
      </c>
      <c r="C186" s="170" t="s">
        <v>244</v>
      </c>
      <c r="D186" s="170"/>
      <c r="E186" s="195">
        <v>3.9899999999999998E-2</v>
      </c>
      <c r="F186" s="276" t="s">
        <v>207</v>
      </c>
      <c r="G186" s="276"/>
      <c r="H186" s="277">
        <v>100000</v>
      </c>
      <c r="I186" s="2"/>
      <c r="J186" s="2"/>
    </row>
    <row r="187" spans="1:10" ht="15.5" x14ac:dyDescent="0.25">
      <c r="A187" s="192" t="s">
        <v>570</v>
      </c>
      <c r="B187" s="461"/>
      <c r="C187" s="462"/>
      <c r="D187" s="462"/>
      <c r="E187" s="463"/>
      <c r="F187" s="464"/>
      <c r="G187" s="464"/>
      <c r="H187" s="465"/>
      <c r="I187" s="2"/>
      <c r="J187" s="2"/>
    </row>
    <row r="188" spans="1:10" ht="13" x14ac:dyDescent="0.3">
      <c r="A188" s="476" t="s">
        <v>561</v>
      </c>
      <c r="B188" s="466"/>
      <c r="C188" s="458"/>
      <c r="D188" s="458"/>
      <c r="E188" s="458"/>
      <c r="F188" s="79"/>
      <c r="G188" s="79"/>
      <c r="H188" s="452"/>
      <c r="I188" s="2"/>
      <c r="J188" s="2"/>
    </row>
    <row r="189" spans="1:10" x14ac:dyDescent="0.25">
      <c r="A189" s="215"/>
      <c r="B189"/>
      <c r="C189"/>
      <c r="D189"/>
      <c r="E189"/>
      <c r="H189" s="217"/>
    </row>
    <row r="190" spans="1:10" ht="13" customHeight="1" thickBot="1" x14ac:dyDescent="0.3">
      <c r="A190" s="498" t="s">
        <v>423</v>
      </c>
      <c r="B190" s="499"/>
      <c r="C190" s="499"/>
      <c r="D190" s="499"/>
      <c r="E190" s="499"/>
      <c r="F190" s="499"/>
      <c r="G190" s="459"/>
      <c r="H190" s="460"/>
    </row>
    <row r="191" spans="1:10" x14ac:dyDescent="0.25">
      <c r="A191" s="2"/>
      <c r="B191" s="101"/>
      <c r="C191" s="156"/>
      <c r="D191" s="156"/>
      <c r="E191" s="156"/>
      <c r="F191" s="2"/>
      <c r="G191" s="2"/>
      <c r="H191" s="2"/>
    </row>
    <row r="192" spans="1:10" ht="13" thickBot="1" x14ac:dyDescent="0.3">
      <c r="A192" s="2"/>
      <c r="B192" s="101"/>
      <c r="C192" s="156"/>
      <c r="D192" s="156"/>
      <c r="E192" s="156"/>
      <c r="F192" s="2"/>
      <c r="G192" s="2"/>
      <c r="H192" s="2"/>
    </row>
    <row r="193" spans="1:8" ht="13" thickBot="1" x14ac:dyDescent="0.3">
      <c r="A193" s="265"/>
      <c r="B193" s="266" t="s">
        <v>426</v>
      </c>
      <c r="C193" s="267"/>
      <c r="D193" s="267"/>
      <c r="E193" s="267"/>
      <c r="F193" s="267"/>
      <c r="G193" s="267"/>
      <c r="H193" s="268"/>
    </row>
    <row r="194" spans="1:8" ht="15.5" x14ac:dyDescent="0.25">
      <c r="A194" s="269" t="s">
        <v>427</v>
      </c>
      <c r="C194" s="270" t="s">
        <v>428</v>
      </c>
      <c r="D194" s="270"/>
      <c r="E194" s="271"/>
      <c r="F194" s="271"/>
      <c r="G194" s="271"/>
      <c r="H194" s="217"/>
    </row>
    <row r="195" spans="1:8" ht="15.5" x14ac:dyDescent="0.25">
      <c r="A195" s="269"/>
      <c r="C195" s="271"/>
      <c r="D195" s="271"/>
      <c r="E195" s="271"/>
      <c r="F195" s="271"/>
      <c r="G195" s="271"/>
      <c r="H195" s="217"/>
    </row>
    <row r="196" spans="1:8" ht="15.5" x14ac:dyDescent="0.25">
      <c r="A196" s="272" t="s">
        <v>329</v>
      </c>
      <c r="B196" s="431">
        <v>503</v>
      </c>
      <c r="C196" s="167"/>
      <c r="D196" s="167"/>
      <c r="E196" s="167"/>
      <c r="F196" s="271"/>
      <c r="G196" s="271"/>
      <c r="H196" s="217"/>
    </row>
    <row r="197" spans="1:8" ht="15.5" x14ac:dyDescent="0.25">
      <c r="A197" s="272" t="s">
        <v>330</v>
      </c>
      <c r="B197" s="431">
        <v>503</v>
      </c>
      <c r="C197" s="168" t="s">
        <v>244</v>
      </c>
      <c r="D197" s="168"/>
      <c r="E197" s="194">
        <v>0.30209999999999998</v>
      </c>
      <c r="F197" s="278" t="s">
        <v>207</v>
      </c>
      <c r="G197" s="278"/>
      <c r="H197" s="279">
        <v>1625</v>
      </c>
    </row>
    <row r="198" spans="1:8" ht="15.5" x14ac:dyDescent="0.35">
      <c r="A198" s="272" t="s">
        <v>331</v>
      </c>
      <c r="B198" s="431">
        <v>6055</v>
      </c>
      <c r="C198" s="168" t="s">
        <v>244</v>
      </c>
      <c r="D198" s="168"/>
      <c r="E198" s="194">
        <v>0.17030000000000001</v>
      </c>
      <c r="F198" s="278" t="s">
        <v>207</v>
      </c>
      <c r="G198" s="278"/>
      <c r="H198" s="274">
        <v>20000</v>
      </c>
    </row>
    <row r="199" spans="1:8" ht="15.5" x14ac:dyDescent="0.35">
      <c r="A199" s="272" t="s">
        <v>332</v>
      </c>
      <c r="B199" s="431">
        <v>19679</v>
      </c>
      <c r="C199" s="168" t="s">
        <v>244</v>
      </c>
      <c r="D199" s="168"/>
      <c r="E199" s="194">
        <v>8.9899999999999994E-2</v>
      </c>
      <c r="F199" s="278" t="s">
        <v>207</v>
      </c>
      <c r="G199" s="278"/>
      <c r="H199" s="274">
        <v>100000</v>
      </c>
    </row>
    <row r="200" spans="1:8" ht="16" thickBot="1" x14ac:dyDescent="0.3">
      <c r="A200" s="275" t="s">
        <v>333</v>
      </c>
      <c r="B200" s="432">
        <v>55639</v>
      </c>
      <c r="C200" s="170" t="s">
        <v>244</v>
      </c>
      <c r="D200" s="170"/>
      <c r="E200" s="195">
        <v>4.7300000000000002E-2</v>
      </c>
      <c r="F200" s="276" t="s">
        <v>207</v>
      </c>
      <c r="G200" s="276"/>
      <c r="H200" s="277">
        <v>500000</v>
      </c>
    </row>
    <row r="201" spans="1:8" ht="15.5" x14ac:dyDescent="0.3">
      <c r="A201" s="162" t="s">
        <v>245</v>
      </c>
      <c r="B201" s="99"/>
      <c r="C201" s="163"/>
      <c r="D201" s="163"/>
      <c r="E201" s="163"/>
      <c r="F201" s="2"/>
      <c r="G201" s="2"/>
      <c r="H201" s="2"/>
    </row>
    <row r="202" spans="1:8" ht="15.5" x14ac:dyDescent="0.3">
      <c r="A202" s="164" t="s">
        <v>572</v>
      </c>
      <c r="B202" s="99"/>
      <c r="C202" s="163"/>
      <c r="D202" s="163"/>
      <c r="E202" s="163"/>
      <c r="F202" s="2"/>
      <c r="G202" s="2"/>
      <c r="H202" s="2"/>
    </row>
    <row r="203" spans="1:8" ht="16" thickBot="1" x14ac:dyDescent="0.4">
      <c r="A203" s="298" t="s">
        <v>571</v>
      </c>
      <c r="B203" s="101"/>
      <c r="C203" s="163"/>
      <c r="D203" s="163"/>
      <c r="E203" s="163"/>
      <c r="F203" s="2"/>
      <c r="G203" s="2"/>
      <c r="H203" s="2"/>
    </row>
    <row r="204" spans="1:8" ht="13" thickBot="1" x14ac:dyDescent="0.3">
      <c r="A204" s="467"/>
      <c r="B204" s="474" t="s">
        <v>565</v>
      </c>
      <c r="C204" s="468"/>
      <c r="D204" s="468"/>
      <c r="E204" s="468"/>
      <c r="F204" s="468"/>
      <c r="G204" s="468"/>
      <c r="H204" s="469"/>
    </row>
    <row r="205" spans="1:8" ht="14" x14ac:dyDescent="0.4">
      <c r="A205" s="470"/>
      <c r="B205" s="471"/>
      <c r="C205" s="475" t="s">
        <v>563</v>
      </c>
      <c r="D205" s="472"/>
      <c r="E205" s="472"/>
      <c r="F205" s="263"/>
      <c r="G205" s="263"/>
      <c r="H205" s="408"/>
    </row>
    <row r="206" spans="1:8" x14ac:dyDescent="0.25">
      <c r="A206" s="155"/>
      <c r="B206" s="101"/>
      <c r="C206" s="138"/>
      <c r="D206" s="138"/>
      <c r="E206" s="138"/>
      <c r="F206" s="2"/>
      <c r="G206" s="2"/>
      <c r="H206" s="154"/>
    </row>
    <row r="207" spans="1:8" x14ac:dyDescent="0.25">
      <c r="A207" s="473" t="s">
        <v>564</v>
      </c>
      <c r="B207" s="101"/>
      <c r="C207" s="138"/>
      <c r="D207" s="138"/>
      <c r="E207" s="138"/>
      <c r="F207" s="2"/>
      <c r="G207" s="2"/>
      <c r="H207" s="154"/>
    </row>
    <row r="208" spans="1:8" ht="13" thickBot="1" x14ac:dyDescent="0.3">
      <c r="A208" s="248"/>
      <c r="B208" s="249"/>
      <c r="C208" s="250"/>
      <c r="D208" s="250"/>
      <c r="E208" s="250"/>
      <c r="F208" s="252"/>
      <c r="G208" s="252"/>
      <c r="H208" s="280"/>
    </row>
  </sheetData>
  <sheetProtection algorithmName="SHA-512" hashValue="PgAmf06TOphHztyVEei86ig4J875SiwvBJziqq+ZzMZJeS6oWA4xXi6i9l2+y9KAK8vEtzpYM07VziHFYe0buw==" saltValue="kFisaDKSA5KoE0i4PdBSJg==" spinCount="100000" sheet="1" insertRows="0" selectLockedCells="1"/>
  <customSheetViews>
    <customSheetView guid="{0CFDFAE3-BA5A-49B1-8AEF-ACE06B5A41A2}" hiddenRows="1">
      <selection activeCell="B17" sqref="B17:B23"/>
      <rowBreaks count="2" manualBreakCount="2">
        <brk id="60" max="16383" man="1"/>
        <brk id="200" max="16383" man="1"/>
      </rowBreaks>
      <pageMargins left="0" right="0" top="0.51" bottom="0.4" header="0.23" footer="0.17"/>
      <printOptions horizontalCentered="1"/>
      <pageSetup scale="92" orientation="portrait" r:id="rId1"/>
      <headerFooter alignWithMargins="0">
        <oddFooter>&amp;LFees Effective 07/01/2012&amp;RPage &amp;P of &amp;N</oddFooter>
      </headerFooter>
    </customSheetView>
  </customSheetViews>
  <mergeCells count="23">
    <mergeCell ref="A171:F171"/>
    <mergeCell ref="A170:H170"/>
    <mergeCell ref="A190:F190"/>
    <mergeCell ref="C119:F119"/>
    <mergeCell ref="C125:F125"/>
    <mergeCell ref="C131:F131"/>
    <mergeCell ref="C138:F138"/>
    <mergeCell ref="C152:F152"/>
    <mergeCell ref="C153:E153"/>
    <mergeCell ref="A164:H164"/>
    <mergeCell ref="C122:F122"/>
    <mergeCell ref="C123:E123"/>
    <mergeCell ref="C128:F128"/>
    <mergeCell ref="C129:E129"/>
    <mergeCell ref="C134:F134"/>
    <mergeCell ref="A142:H142"/>
    <mergeCell ref="A151:H151"/>
    <mergeCell ref="C13:F13"/>
    <mergeCell ref="C14:E14"/>
    <mergeCell ref="A12:H12"/>
    <mergeCell ref="A133:H133"/>
    <mergeCell ref="A121:H121"/>
    <mergeCell ref="A127:H127"/>
  </mergeCells>
  <phoneticPr fontId="0" type="noConversion"/>
  <dataValidations disablePrompts="1" count="2">
    <dataValidation type="list" allowBlank="1" showInputMessage="1" showErrorMessage="1" sqref="B141 B143 F165:G165" xr:uid="{00000000-0002-0000-0100-000000000000}">
      <formula1>"Yes,No"</formula1>
    </dataValidation>
    <dataValidation type="list" allowBlank="1" showInputMessage="1" showErrorMessage="1" sqref="B144" xr:uid="{00000000-0002-0000-0100-000001000000}">
      <formula1>"Y,N"</formula1>
    </dataValidation>
  </dataValidations>
  <printOptions horizontalCentered="1"/>
  <pageMargins left="0" right="0" top="0.51" bottom="0.4" header="0.23" footer="0.17"/>
  <pageSetup scale="92" orientation="portrait" r:id="rId2"/>
  <headerFooter alignWithMargins="0">
    <oddFooter>&amp;LFees Effective 07/01/2025&amp;RPage &amp;P of &amp;N</oddFooter>
  </headerFooter>
  <rowBreaks count="2" manualBreakCount="2">
    <brk id="62" max="16383" man="1"/>
    <brk id="141"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9"/>
  <sheetViews>
    <sheetView zoomScaleNormal="100" zoomScaleSheetLayoutView="100" workbookViewId="0">
      <selection activeCell="B17" sqref="B17"/>
    </sheetView>
  </sheetViews>
  <sheetFormatPr defaultColWidth="9.08984375" defaultRowHeight="12.5" x14ac:dyDescent="0.25"/>
  <cols>
    <col min="1" max="1" width="47.6328125" customWidth="1"/>
    <col min="2" max="2" width="11.453125" style="172" customWidth="1"/>
    <col min="3" max="3" width="12.08984375" style="174" customWidth="1"/>
    <col min="4" max="4" width="12.08984375" style="174" hidden="1" customWidth="1"/>
    <col min="5" max="5" width="8.36328125" style="174" customWidth="1"/>
    <col min="6" max="6" width="15.08984375" customWidth="1"/>
    <col min="7" max="7" width="15.08984375" hidden="1" customWidth="1"/>
    <col min="8" max="8" width="14.08984375" customWidth="1"/>
    <col min="9" max="9" width="11.36328125" bestFit="1" customWidth="1"/>
    <col min="10" max="10" width="11.6328125" customWidth="1"/>
    <col min="11" max="13" width="11.36328125" bestFit="1" customWidth="1"/>
  </cols>
  <sheetData>
    <row r="1" spans="1:12" ht="13" x14ac:dyDescent="0.3">
      <c r="A1" s="2"/>
      <c r="B1" s="99"/>
      <c r="C1" s="100"/>
      <c r="D1" s="100"/>
      <c r="E1" s="100"/>
      <c r="F1" s="2"/>
      <c r="G1" s="2"/>
      <c r="H1" s="2"/>
      <c r="I1" s="2"/>
      <c r="J1" s="2"/>
    </row>
    <row r="2" spans="1:12" ht="13" x14ac:dyDescent="0.3">
      <c r="A2" s="2"/>
      <c r="B2" s="99"/>
      <c r="C2" s="100"/>
      <c r="D2" s="100"/>
      <c r="E2" s="100"/>
      <c r="F2" s="2"/>
      <c r="G2" s="2"/>
      <c r="H2" s="2"/>
      <c r="I2" s="2"/>
      <c r="J2" s="2"/>
    </row>
    <row r="3" spans="1:12" x14ac:dyDescent="0.25">
      <c r="A3" s="2"/>
      <c r="B3" s="101"/>
      <c r="C3" s="100"/>
      <c r="D3" s="100"/>
      <c r="E3" s="100"/>
      <c r="F3" s="2"/>
      <c r="G3" s="2"/>
      <c r="H3" s="2"/>
      <c r="I3" s="2"/>
      <c r="J3" s="2"/>
    </row>
    <row r="4" spans="1:12" x14ac:dyDescent="0.25">
      <c r="A4" s="2"/>
      <c r="B4" s="101"/>
      <c r="C4" s="100"/>
      <c r="D4" s="100"/>
      <c r="E4" s="100"/>
      <c r="F4" s="2"/>
      <c r="G4" s="2"/>
      <c r="H4" s="2"/>
      <c r="I4" s="2"/>
      <c r="J4" s="2"/>
    </row>
    <row r="5" spans="1:12" x14ac:dyDescent="0.25">
      <c r="A5" s="2"/>
      <c r="B5" s="101"/>
      <c r="C5" s="100"/>
      <c r="D5" s="100"/>
      <c r="E5" s="100"/>
      <c r="F5" s="2"/>
      <c r="G5" s="2"/>
      <c r="H5" s="2"/>
      <c r="I5" s="2"/>
      <c r="J5" s="2"/>
    </row>
    <row r="6" spans="1:12" x14ac:dyDescent="0.25">
      <c r="A6" s="2"/>
      <c r="B6" s="101"/>
      <c r="C6" s="100"/>
      <c r="D6" s="100"/>
      <c r="E6" s="100"/>
      <c r="F6" s="2"/>
      <c r="G6" s="2"/>
      <c r="H6" s="2"/>
      <c r="I6" s="2"/>
      <c r="J6" s="2"/>
    </row>
    <row r="7" spans="1:12" x14ac:dyDescent="0.25">
      <c r="A7" s="2"/>
      <c r="B7" s="101"/>
      <c r="C7" s="100"/>
      <c r="D7" s="100"/>
      <c r="E7" s="100"/>
      <c r="F7" s="2"/>
      <c r="G7" s="2"/>
      <c r="H7" s="2"/>
      <c r="I7" s="2"/>
      <c r="J7" s="2"/>
    </row>
    <row r="8" spans="1:12" x14ac:dyDescent="0.25">
      <c r="A8" s="2"/>
      <c r="B8" s="101"/>
      <c r="C8" s="100"/>
      <c r="D8" s="100"/>
      <c r="E8" s="100"/>
      <c r="F8" s="2"/>
      <c r="G8" s="2"/>
      <c r="H8" s="2"/>
      <c r="I8" s="2"/>
      <c r="J8" s="2"/>
    </row>
    <row r="9" spans="1:12" x14ac:dyDescent="0.25">
      <c r="A9" s="2"/>
      <c r="B9" s="101"/>
      <c r="C9" s="100"/>
      <c r="D9" s="100"/>
      <c r="E9" s="100"/>
      <c r="F9" s="2"/>
      <c r="G9" s="2"/>
      <c r="H9" s="2"/>
      <c r="I9" s="2"/>
      <c r="J9" s="2"/>
    </row>
    <row r="10" spans="1:12" x14ac:dyDescent="0.25">
      <c r="A10" s="2"/>
      <c r="B10" s="101"/>
      <c r="C10" s="100"/>
      <c r="D10" s="100"/>
      <c r="E10" s="100"/>
      <c r="F10" s="2"/>
      <c r="G10" s="2"/>
      <c r="H10" s="2"/>
      <c r="I10" s="2"/>
      <c r="J10" s="2"/>
    </row>
    <row r="11" spans="1:12" x14ac:dyDescent="0.25">
      <c r="A11" s="2"/>
      <c r="B11" s="101"/>
      <c r="C11" s="100"/>
      <c r="D11" s="100"/>
      <c r="E11" s="100"/>
      <c r="F11" s="2"/>
      <c r="G11" s="2"/>
      <c r="H11" s="2"/>
      <c r="I11" s="2"/>
      <c r="J11" s="2"/>
    </row>
    <row r="12" spans="1:12" ht="13" thickBot="1" x14ac:dyDescent="0.3">
      <c r="A12" s="2"/>
      <c r="B12" s="101"/>
      <c r="C12" s="100"/>
      <c r="D12" s="100"/>
      <c r="E12" s="100"/>
      <c r="F12" s="2"/>
      <c r="G12" s="2"/>
      <c r="H12" s="2"/>
      <c r="I12" s="2"/>
      <c r="J12" s="2"/>
    </row>
    <row r="13" spans="1:12" ht="13.5" thickBot="1" x14ac:dyDescent="0.35">
      <c r="A13" s="479" t="s">
        <v>400</v>
      </c>
      <c r="B13" s="480"/>
      <c r="C13" s="480"/>
      <c r="D13" s="480"/>
      <c r="E13" s="480"/>
      <c r="F13" s="480"/>
      <c r="G13" s="480"/>
      <c r="H13" s="481"/>
      <c r="I13" s="130"/>
      <c r="J13" s="130"/>
      <c r="K13" s="138"/>
      <c r="L13" s="130"/>
    </row>
    <row r="14" spans="1:12" ht="13.5" thickBot="1" x14ac:dyDescent="0.35">
      <c r="A14" s="196" t="s">
        <v>0</v>
      </c>
      <c r="B14" s="197" t="s">
        <v>1</v>
      </c>
      <c r="C14" s="482" t="s">
        <v>2</v>
      </c>
      <c r="D14" s="483"/>
      <c r="E14" s="483"/>
      <c r="F14" s="484"/>
      <c r="G14" s="198"/>
      <c r="H14" s="196" t="s">
        <v>3</v>
      </c>
      <c r="I14" s="130"/>
      <c r="J14" s="130"/>
      <c r="K14" s="138"/>
      <c r="L14" s="130"/>
    </row>
    <row r="15" spans="1:12" x14ac:dyDescent="0.25">
      <c r="A15" s="104"/>
      <c r="B15" s="105"/>
      <c r="C15" s="485" t="s">
        <v>63</v>
      </c>
      <c r="D15" s="486"/>
      <c r="E15" s="487"/>
      <c r="F15" s="80" t="s">
        <v>62</v>
      </c>
      <c r="G15" s="146"/>
      <c r="H15" s="106"/>
      <c r="I15" s="130"/>
      <c r="J15" s="130"/>
      <c r="K15" s="138"/>
      <c r="L15" s="130"/>
    </row>
    <row r="16" spans="1:12" ht="13" x14ac:dyDescent="0.3">
      <c r="A16" s="199" t="s">
        <v>387</v>
      </c>
      <c r="B16" s="113"/>
      <c r="C16" s="58"/>
      <c r="D16" s="58"/>
      <c r="E16" s="233"/>
      <c r="F16" s="234"/>
      <c r="G16" s="235"/>
      <c r="H16" s="81"/>
      <c r="I16" s="130"/>
      <c r="J16" s="130"/>
      <c r="K16" s="138"/>
      <c r="L16" s="130"/>
    </row>
    <row r="17" spans="1:12" x14ac:dyDescent="0.25">
      <c r="A17" s="282" t="s">
        <v>397</v>
      </c>
      <c r="B17" s="3"/>
      <c r="C17" s="53">
        <f>ROUND(CPI*D17,2)</f>
        <v>435</v>
      </c>
      <c r="D17" s="283">
        <v>303.89999999999998</v>
      </c>
      <c r="E17" s="233" t="s">
        <v>57</v>
      </c>
      <c r="F17" s="53">
        <f>ROUND(CPI*G17,2)</f>
        <v>435</v>
      </c>
      <c r="G17" s="254">
        <v>303.89999999999998</v>
      </c>
      <c r="H17" s="81">
        <f>IF($B$83="Yes",B17*F17,B17*C17)</f>
        <v>0</v>
      </c>
      <c r="I17" s="130"/>
      <c r="J17" s="130"/>
      <c r="K17" s="138"/>
      <c r="L17" s="130"/>
    </row>
    <row r="18" spans="1:12" x14ac:dyDescent="0.25">
      <c r="A18" s="282" t="s">
        <v>398</v>
      </c>
      <c r="B18" s="3"/>
      <c r="C18" s="53">
        <f>ROUND(CPI*D18,2)</f>
        <v>616.26</v>
      </c>
      <c r="D18" s="283">
        <v>430.53</v>
      </c>
      <c r="E18" s="233" t="s">
        <v>57</v>
      </c>
      <c r="F18" s="53">
        <f>ROUND(CPI*G18,2)</f>
        <v>616.26</v>
      </c>
      <c r="G18" s="254">
        <v>430.53</v>
      </c>
      <c r="H18" s="81">
        <f>IF($B$83="Yes",B18*F18,B18*C18)</f>
        <v>0</v>
      </c>
      <c r="I18" s="130"/>
      <c r="J18" s="130"/>
      <c r="K18" s="138"/>
      <c r="L18" s="130"/>
    </row>
    <row r="19" spans="1:12" x14ac:dyDescent="0.25">
      <c r="A19" s="107" t="s">
        <v>399</v>
      </c>
      <c r="B19" s="3"/>
      <c r="C19" s="53">
        <f>ROUND(CPI*D19,2)</f>
        <v>362.5</v>
      </c>
      <c r="D19" s="283">
        <v>253.25</v>
      </c>
      <c r="E19" s="233" t="s">
        <v>57</v>
      </c>
      <c r="F19" s="53">
        <f>ROUND(CPI*G19,2)</f>
        <v>362.5</v>
      </c>
      <c r="G19" s="254">
        <v>253.25</v>
      </c>
      <c r="H19" s="81">
        <f>IF($B$83="Yes",B19*F19,B19*C19)</f>
        <v>0</v>
      </c>
      <c r="I19" s="130"/>
      <c r="J19" s="130"/>
      <c r="K19" s="138"/>
      <c r="L19" s="130"/>
    </row>
    <row r="20" spans="1:12" x14ac:dyDescent="0.25">
      <c r="A20" s="107" t="s">
        <v>385</v>
      </c>
      <c r="B20" s="3"/>
      <c r="C20" s="53">
        <f>ROUND(CPI*D20,2)</f>
        <v>261</v>
      </c>
      <c r="D20" s="283">
        <v>182.34</v>
      </c>
      <c r="E20" s="233" t="s">
        <v>57</v>
      </c>
      <c r="F20" s="53">
        <f>ROUND(CPI*G20,2)</f>
        <v>261</v>
      </c>
      <c r="G20" s="254">
        <v>182.34</v>
      </c>
      <c r="H20" s="81">
        <f>IF($B$83="Yes",B20*F20,B20*C20)</f>
        <v>0</v>
      </c>
      <c r="I20" s="130"/>
      <c r="J20" s="130"/>
      <c r="K20" s="138"/>
      <c r="L20" s="130"/>
    </row>
    <row r="21" spans="1:12" x14ac:dyDescent="0.25">
      <c r="A21" s="107" t="s">
        <v>386</v>
      </c>
      <c r="B21" s="3"/>
      <c r="C21" s="53">
        <f>ROUND(CPI*D21,2)</f>
        <v>326.26</v>
      </c>
      <c r="D21" s="283">
        <v>227.93</v>
      </c>
      <c r="E21" s="233" t="s">
        <v>57</v>
      </c>
      <c r="F21" s="53">
        <f>ROUND(CPI*G21,2)</f>
        <v>326.26</v>
      </c>
      <c r="G21" s="254">
        <v>227.93</v>
      </c>
      <c r="H21" s="81">
        <f>IF($B$83="Yes",B21*F21,B21*C21)</f>
        <v>0</v>
      </c>
      <c r="I21" s="130"/>
      <c r="J21" s="130"/>
      <c r="K21" s="138"/>
      <c r="L21" s="130"/>
    </row>
    <row r="22" spans="1:12" x14ac:dyDescent="0.25">
      <c r="A22" s="236"/>
      <c r="B22" s="225"/>
      <c r="C22" s="237"/>
      <c r="D22" s="237"/>
      <c r="E22" s="2"/>
      <c r="F22" s="130"/>
      <c r="G22" s="130"/>
      <c r="H22" s="238"/>
      <c r="I22" s="130"/>
      <c r="J22" s="130"/>
      <c r="K22" s="138"/>
      <c r="L22" s="130"/>
    </row>
    <row r="23" spans="1:12" ht="13" x14ac:dyDescent="0.3">
      <c r="A23" s="199" t="s">
        <v>341</v>
      </c>
      <c r="B23" s="225"/>
      <c r="C23" s="138"/>
      <c r="D23" s="138"/>
      <c r="E23" s="2"/>
      <c r="F23" s="130"/>
      <c r="G23" s="130"/>
      <c r="H23" s="238"/>
      <c r="I23" s="130"/>
      <c r="J23" s="130"/>
      <c r="K23" s="138"/>
      <c r="L23" s="130"/>
    </row>
    <row r="24" spans="1:12" x14ac:dyDescent="0.25">
      <c r="A24" s="107" t="s">
        <v>340</v>
      </c>
      <c r="B24" s="3"/>
      <c r="C24" s="53">
        <f t="shared" ref="C24:C44" si="0">ROUND(CPI*D24,2)</f>
        <v>2.91</v>
      </c>
      <c r="D24" s="283">
        <v>2.0299999999999998</v>
      </c>
      <c r="E24" s="233" t="s">
        <v>388</v>
      </c>
      <c r="F24" s="53">
        <f t="shared" ref="F24:F44" si="1">ROUND(CPI*G24,2)</f>
        <v>2.91</v>
      </c>
      <c r="G24" s="254">
        <v>2.0299999999999998</v>
      </c>
      <c r="H24" s="81">
        <f t="shared" ref="H24:H44" si="2">IF($B$83="Yes",B24*F24,B24*C24)</f>
        <v>0</v>
      </c>
      <c r="I24" s="130"/>
      <c r="J24" s="130"/>
      <c r="K24" s="138"/>
      <c r="L24" s="130"/>
    </row>
    <row r="25" spans="1:12" x14ac:dyDescent="0.25">
      <c r="A25" s="282" t="s">
        <v>342</v>
      </c>
      <c r="B25" s="3"/>
      <c r="C25" s="53">
        <f t="shared" si="0"/>
        <v>2.91</v>
      </c>
      <c r="D25" s="283">
        <v>2.0299999999999998</v>
      </c>
      <c r="E25" s="233" t="s">
        <v>388</v>
      </c>
      <c r="F25" s="53">
        <f t="shared" si="1"/>
        <v>2.91</v>
      </c>
      <c r="G25" s="254">
        <v>2.0299999999999998</v>
      </c>
      <c r="H25" s="81">
        <f t="shared" si="2"/>
        <v>0</v>
      </c>
      <c r="I25" s="130"/>
      <c r="J25" s="130"/>
      <c r="K25" s="138"/>
      <c r="L25" s="130"/>
    </row>
    <row r="26" spans="1:12" x14ac:dyDescent="0.25">
      <c r="A26" s="107" t="s">
        <v>343</v>
      </c>
      <c r="B26" s="3"/>
      <c r="C26" s="53">
        <f t="shared" si="0"/>
        <v>2.91</v>
      </c>
      <c r="D26" s="283">
        <v>2.0299999999999998</v>
      </c>
      <c r="E26" s="233" t="s">
        <v>388</v>
      </c>
      <c r="F26" s="53">
        <f t="shared" si="1"/>
        <v>2.91</v>
      </c>
      <c r="G26" s="254">
        <v>2.0299999999999998</v>
      </c>
      <c r="H26" s="81">
        <f t="shared" si="2"/>
        <v>0</v>
      </c>
      <c r="I26" s="130"/>
      <c r="J26" s="130"/>
      <c r="K26" s="138"/>
      <c r="L26" s="130"/>
    </row>
    <row r="27" spans="1:12" x14ac:dyDescent="0.25">
      <c r="A27" s="107" t="s">
        <v>344</v>
      </c>
      <c r="B27" s="3"/>
      <c r="C27" s="53">
        <f t="shared" si="0"/>
        <v>2.91</v>
      </c>
      <c r="D27" s="283">
        <v>2.0299999999999998</v>
      </c>
      <c r="E27" s="233" t="s">
        <v>388</v>
      </c>
      <c r="F27" s="53">
        <f t="shared" si="1"/>
        <v>2.91</v>
      </c>
      <c r="G27" s="254">
        <v>2.0299999999999998</v>
      </c>
      <c r="H27" s="81">
        <f t="shared" si="2"/>
        <v>0</v>
      </c>
      <c r="I27" s="130"/>
      <c r="J27" s="130"/>
      <c r="K27" s="138"/>
      <c r="L27" s="130"/>
    </row>
    <row r="28" spans="1:12" x14ac:dyDescent="0.25">
      <c r="A28" s="107" t="s">
        <v>345</v>
      </c>
      <c r="B28" s="3"/>
      <c r="C28" s="53">
        <f t="shared" si="0"/>
        <v>3.62</v>
      </c>
      <c r="D28" s="283">
        <v>2.5299999999999998</v>
      </c>
      <c r="E28" s="233" t="s">
        <v>388</v>
      </c>
      <c r="F28" s="53">
        <f t="shared" si="1"/>
        <v>3.62</v>
      </c>
      <c r="G28" s="254">
        <v>2.5299999999999998</v>
      </c>
      <c r="H28" s="81">
        <f t="shared" si="2"/>
        <v>0</v>
      </c>
      <c r="I28" s="130"/>
      <c r="J28" s="130"/>
      <c r="K28" s="138"/>
      <c r="L28" s="130"/>
    </row>
    <row r="29" spans="1:12" x14ac:dyDescent="0.25">
      <c r="A29" s="107" t="s">
        <v>346</v>
      </c>
      <c r="B29" s="3"/>
      <c r="C29" s="53">
        <f t="shared" si="0"/>
        <v>3.62</v>
      </c>
      <c r="D29" s="283">
        <v>2.5299999999999998</v>
      </c>
      <c r="E29" s="233" t="s">
        <v>388</v>
      </c>
      <c r="F29" s="53">
        <f t="shared" si="1"/>
        <v>3.62</v>
      </c>
      <c r="G29" s="254">
        <v>2.5299999999999998</v>
      </c>
      <c r="H29" s="81">
        <f t="shared" si="2"/>
        <v>0</v>
      </c>
      <c r="I29" s="130"/>
      <c r="J29" s="130"/>
      <c r="K29" s="138"/>
      <c r="L29" s="130"/>
    </row>
    <row r="30" spans="1:12" x14ac:dyDescent="0.25">
      <c r="A30" s="107" t="s">
        <v>347</v>
      </c>
      <c r="B30" s="3"/>
      <c r="C30" s="53">
        <f t="shared" si="0"/>
        <v>4.3499999999999996</v>
      </c>
      <c r="D30" s="283">
        <v>3.04</v>
      </c>
      <c r="E30" s="233" t="s">
        <v>388</v>
      </c>
      <c r="F30" s="53">
        <f t="shared" si="1"/>
        <v>4.3499999999999996</v>
      </c>
      <c r="G30" s="254">
        <v>3.04</v>
      </c>
      <c r="H30" s="81">
        <f t="shared" si="2"/>
        <v>0</v>
      </c>
      <c r="I30" s="130"/>
      <c r="J30" s="130"/>
      <c r="K30" s="138"/>
      <c r="L30" s="130"/>
    </row>
    <row r="31" spans="1:12" x14ac:dyDescent="0.25">
      <c r="A31" s="107" t="s">
        <v>348</v>
      </c>
      <c r="B31" s="3"/>
      <c r="C31" s="53">
        <f t="shared" si="0"/>
        <v>4.3499999999999996</v>
      </c>
      <c r="D31" s="283">
        <v>3.04</v>
      </c>
      <c r="E31" s="233" t="s">
        <v>388</v>
      </c>
      <c r="F31" s="53">
        <f t="shared" si="1"/>
        <v>4.3499999999999996</v>
      </c>
      <c r="G31" s="254">
        <v>3.04</v>
      </c>
      <c r="H31" s="81">
        <f t="shared" si="2"/>
        <v>0</v>
      </c>
      <c r="I31" s="130"/>
      <c r="J31" s="130"/>
      <c r="K31" s="138"/>
      <c r="L31" s="130"/>
    </row>
    <row r="32" spans="1:12" x14ac:dyDescent="0.25">
      <c r="A32" s="282" t="s">
        <v>349</v>
      </c>
      <c r="B32" s="3"/>
      <c r="C32" s="53">
        <f t="shared" si="0"/>
        <v>3.62</v>
      </c>
      <c r="D32" s="283">
        <v>2.5299999999999998</v>
      </c>
      <c r="E32" s="233" t="s">
        <v>388</v>
      </c>
      <c r="F32" s="53">
        <f t="shared" si="1"/>
        <v>3.62</v>
      </c>
      <c r="G32" s="254">
        <v>2.5299999999999998</v>
      </c>
      <c r="H32" s="81">
        <f t="shared" si="2"/>
        <v>0</v>
      </c>
      <c r="I32" s="130"/>
      <c r="J32" s="130"/>
      <c r="K32" s="138"/>
      <c r="L32" s="130"/>
    </row>
    <row r="33" spans="1:12" x14ac:dyDescent="0.25">
      <c r="A33" s="107" t="s">
        <v>350</v>
      </c>
      <c r="B33" s="3"/>
      <c r="C33" s="53">
        <f t="shared" si="0"/>
        <v>3.62</v>
      </c>
      <c r="D33" s="283">
        <v>2.5299999999999998</v>
      </c>
      <c r="E33" s="233" t="s">
        <v>388</v>
      </c>
      <c r="F33" s="53">
        <f t="shared" si="1"/>
        <v>3.62</v>
      </c>
      <c r="G33" s="254">
        <v>2.5299999999999998</v>
      </c>
      <c r="H33" s="81">
        <f t="shared" si="2"/>
        <v>0</v>
      </c>
      <c r="I33" s="130"/>
      <c r="J33" s="130"/>
      <c r="K33" s="138"/>
      <c r="L33" s="130"/>
    </row>
    <row r="34" spans="1:12" x14ac:dyDescent="0.25">
      <c r="A34" s="107" t="s">
        <v>351</v>
      </c>
      <c r="B34" s="3"/>
      <c r="C34" s="53">
        <f t="shared" si="0"/>
        <v>3.62</v>
      </c>
      <c r="D34" s="283">
        <v>2.5299999999999998</v>
      </c>
      <c r="E34" s="233" t="s">
        <v>388</v>
      </c>
      <c r="F34" s="53">
        <f t="shared" si="1"/>
        <v>3.62</v>
      </c>
      <c r="G34" s="254">
        <v>2.5299999999999998</v>
      </c>
      <c r="H34" s="81">
        <f t="shared" si="2"/>
        <v>0</v>
      </c>
      <c r="I34" s="130"/>
      <c r="J34" s="130"/>
      <c r="K34" s="138"/>
      <c r="L34" s="130"/>
    </row>
    <row r="35" spans="1:12" x14ac:dyDescent="0.25">
      <c r="A35" s="107" t="s">
        <v>352</v>
      </c>
      <c r="B35" s="3"/>
      <c r="C35" s="53">
        <f t="shared" si="0"/>
        <v>5.08</v>
      </c>
      <c r="D35" s="283">
        <v>3.55</v>
      </c>
      <c r="E35" s="233" t="s">
        <v>388</v>
      </c>
      <c r="F35" s="53">
        <f t="shared" si="1"/>
        <v>5.08</v>
      </c>
      <c r="G35" s="254">
        <v>3.55</v>
      </c>
      <c r="H35" s="81">
        <f t="shared" si="2"/>
        <v>0</v>
      </c>
      <c r="I35" s="130"/>
      <c r="J35" s="130"/>
      <c r="K35" s="138"/>
      <c r="L35" s="130"/>
    </row>
    <row r="36" spans="1:12" x14ac:dyDescent="0.25">
      <c r="A36" s="107" t="s">
        <v>353</v>
      </c>
      <c r="B36" s="3"/>
      <c r="C36" s="53">
        <f t="shared" si="0"/>
        <v>5.08</v>
      </c>
      <c r="D36" s="283">
        <v>3.55</v>
      </c>
      <c r="E36" s="233" t="s">
        <v>388</v>
      </c>
      <c r="F36" s="53">
        <f t="shared" si="1"/>
        <v>5.08</v>
      </c>
      <c r="G36" s="254">
        <v>3.55</v>
      </c>
      <c r="H36" s="81">
        <f t="shared" si="2"/>
        <v>0</v>
      </c>
      <c r="I36" s="130"/>
      <c r="J36" s="130"/>
      <c r="K36" s="138"/>
      <c r="L36" s="130"/>
    </row>
    <row r="37" spans="1:12" x14ac:dyDescent="0.25">
      <c r="A37" s="107" t="s">
        <v>354</v>
      </c>
      <c r="B37" s="3"/>
      <c r="C37" s="53">
        <f t="shared" si="0"/>
        <v>4.3499999999999996</v>
      </c>
      <c r="D37" s="283">
        <v>3.04</v>
      </c>
      <c r="E37" s="233" t="s">
        <v>388</v>
      </c>
      <c r="F37" s="53">
        <f t="shared" si="1"/>
        <v>4.3499999999999996</v>
      </c>
      <c r="G37" s="254">
        <v>3.04</v>
      </c>
      <c r="H37" s="81">
        <f t="shared" si="2"/>
        <v>0</v>
      </c>
      <c r="I37" s="130"/>
      <c r="J37" s="130"/>
      <c r="K37" s="138"/>
      <c r="L37" s="130"/>
    </row>
    <row r="38" spans="1:12" x14ac:dyDescent="0.25">
      <c r="A38" s="107" t="s">
        <v>355</v>
      </c>
      <c r="B38" s="3"/>
      <c r="C38" s="53">
        <f t="shared" si="0"/>
        <v>4.3499999999999996</v>
      </c>
      <c r="D38" s="283">
        <v>3.04</v>
      </c>
      <c r="E38" s="233" t="s">
        <v>388</v>
      </c>
      <c r="F38" s="53">
        <f t="shared" si="1"/>
        <v>4.3499999999999996</v>
      </c>
      <c r="G38" s="254">
        <v>3.04</v>
      </c>
      <c r="H38" s="81">
        <f t="shared" si="2"/>
        <v>0</v>
      </c>
      <c r="I38" s="130"/>
      <c r="J38" s="130"/>
      <c r="K38" s="138"/>
      <c r="L38" s="130"/>
    </row>
    <row r="39" spans="1:12" x14ac:dyDescent="0.25">
      <c r="A39" s="107" t="s">
        <v>356</v>
      </c>
      <c r="B39" s="3"/>
      <c r="C39" s="53">
        <f t="shared" si="0"/>
        <v>2.91</v>
      </c>
      <c r="D39" s="283">
        <v>2.0299999999999998</v>
      </c>
      <c r="E39" s="233" t="s">
        <v>388</v>
      </c>
      <c r="F39" s="53">
        <f t="shared" si="1"/>
        <v>2.91</v>
      </c>
      <c r="G39" s="254">
        <v>2.0299999999999998</v>
      </c>
      <c r="H39" s="81">
        <f t="shared" si="2"/>
        <v>0</v>
      </c>
      <c r="I39" s="130"/>
      <c r="J39" s="130"/>
      <c r="K39" s="138"/>
      <c r="L39" s="130"/>
    </row>
    <row r="40" spans="1:12" x14ac:dyDescent="0.25">
      <c r="A40" s="107" t="s">
        <v>357</v>
      </c>
      <c r="B40" s="3"/>
      <c r="C40" s="53">
        <f t="shared" si="0"/>
        <v>4.3499999999999996</v>
      </c>
      <c r="D40" s="283">
        <v>3.04</v>
      </c>
      <c r="E40" s="233" t="s">
        <v>388</v>
      </c>
      <c r="F40" s="53">
        <f t="shared" si="1"/>
        <v>4.3499999999999996</v>
      </c>
      <c r="G40" s="254">
        <v>3.04</v>
      </c>
      <c r="H40" s="81">
        <f t="shared" si="2"/>
        <v>0</v>
      </c>
      <c r="I40" s="130"/>
      <c r="J40" s="130"/>
      <c r="K40" s="138"/>
      <c r="L40" s="130"/>
    </row>
    <row r="41" spans="1:12" x14ac:dyDescent="0.25">
      <c r="A41" s="107" t="s">
        <v>358</v>
      </c>
      <c r="B41" s="3"/>
      <c r="C41" s="53">
        <f t="shared" si="0"/>
        <v>4.3499999999999996</v>
      </c>
      <c r="D41" s="283">
        <v>3.04</v>
      </c>
      <c r="E41" s="233" t="s">
        <v>388</v>
      </c>
      <c r="F41" s="53">
        <f t="shared" si="1"/>
        <v>4.3499999999999996</v>
      </c>
      <c r="G41" s="254">
        <v>3.04</v>
      </c>
      <c r="H41" s="81">
        <f t="shared" si="2"/>
        <v>0</v>
      </c>
      <c r="I41" s="130"/>
      <c r="J41" s="130"/>
      <c r="K41" s="138"/>
      <c r="L41" s="130"/>
    </row>
    <row r="42" spans="1:12" x14ac:dyDescent="0.25">
      <c r="A42" s="107" t="s">
        <v>359</v>
      </c>
      <c r="B42" s="3"/>
      <c r="C42" s="53">
        <f t="shared" si="0"/>
        <v>2.91</v>
      </c>
      <c r="D42" s="283">
        <v>2.0299999999999998</v>
      </c>
      <c r="E42" s="233" t="s">
        <v>388</v>
      </c>
      <c r="F42" s="53">
        <f t="shared" si="1"/>
        <v>2.91</v>
      </c>
      <c r="G42" s="254">
        <v>2.0299999999999998</v>
      </c>
      <c r="H42" s="81">
        <f t="shared" si="2"/>
        <v>0</v>
      </c>
      <c r="I42" s="130"/>
      <c r="J42" s="130"/>
      <c r="K42" s="138"/>
      <c r="L42" s="130"/>
    </row>
    <row r="43" spans="1:12" x14ac:dyDescent="0.25">
      <c r="A43" s="107" t="s">
        <v>360</v>
      </c>
      <c r="B43" s="3"/>
      <c r="C43" s="53">
        <f t="shared" si="0"/>
        <v>2.91</v>
      </c>
      <c r="D43" s="283">
        <v>2.0299999999999998</v>
      </c>
      <c r="E43" s="233" t="s">
        <v>388</v>
      </c>
      <c r="F43" s="53">
        <f t="shared" si="1"/>
        <v>2.91</v>
      </c>
      <c r="G43" s="254">
        <v>2.0299999999999998</v>
      </c>
      <c r="H43" s="81">
        <f t="shared" si="2"/>
        <v>0</v>
      </c>
      <c r="I43" s="130"/>
      <c r="J43" s="130"/>
      <c r="K43" s="138"/>
      <c r="L43" s="130"/>
    </row>
    <row r="44" spans="1:12" x14ac:dyDescent="0.25">
      <c r="A44" s="107" t="s">
        <v>361</v>
      </c>
      <c r="B44" s="3"/>
      <c r="C44" s="53">
        <f t="shared" si="0"/>
        <v>4.3499999999999996</v>
      </c>
      <c r="D44" s="283">
        <v>3.04</v>
      </c>
      <c r="E44" s="233" t="s">
        <v>388</v>
      </c>
      <c r="F44" s="53">
        <f t="shared" si="1"/>
        <v>4.3499999999999996</v>
      </c>
      <c r="G44" s="254">
        <v>3.04</v>
      </c>
      <c r="H44" s="81">
        <f t="shared" si="2"/>
        <v>0</v>
      </c>
      <c r="I44" s="130"/>
      <c r="J44" s="130"/>
      <c r="K44" s="138"/>
      <c r="L44" s="130"/>
    </row>
    <row r="45" spans="1:12" x14ac:dyDescent="0.25">
      <c r="A45" s="107" t="s">
        <v>389</v>
      </c>
      <c r="B45" s="225"/>
      <c r="C45" s="138"/>
      <c r="D45" s="203"/>
      <c r="E45" s="2"/>
      <c r="F45" s="130"/>
      <c r="G45" s="284"/>
      <c r="H45" s="238"/>
      <c r="I45" s="130"/>
      <c r="J45" s="130"/>
      <c r="K45" s="138"/>
      <c r="L45" s="130"/>
    </row>
    <row r="46" spans="1:12" ht="13" x14ac:dyDescent="0.3">
      <c r="A46" s="107" t="s">
        <v>390</v>
      </c>
      <c r="B46" s="3"/>
      <c r="C46" s="53">
        <f t="shared" ref="C46:C73" si="3">ROUND(CPI*D46,2)</f>
        <v>4.3499999999999996</v>
      </c>
      <c r="D46" s="283">
        <v>3.04</v>
      </c>
      <c r="E46" s="233" t="s">
        <v>57</v>
      </c>
      <c r="F46" s="53">
        <f t="shared" ref="F46:F73" si="4">ROUND(CPI*G46,2)</f>
        <v>4.3499999999999996</v>
      </c>
      <c r="G46" s="254">
        <v>3.04</v>
      </c>
      <c r="H46" s="81">
        <f>IF($B$83="Yes",(B46*F46)*22,(B46*C46)*22)</f>
        <v>0</v>
      </c>
      <c r="I46" s="130"/>
      <c r="J46" s="130"/>
      <c r="K46" s="138"/>
      <c r="L46" s="130"/>
    </row>
    <row r="47" spans="1:12" ht="13" x14ac:dyDescent="0.3">
      <c r="A47" s="107" t="s">
        <v>391</v>
      </c>
      <c r="B47" s="3"/>
      <c r="C47" s="53">
        <f t="shared" si="3"/>
        <v>4.3499999999999996</v>
      </c>
      <c r="D47" s="283">
        <v>3.04</v>
      </c>
      <c r="E47" s="233" t="s">
        <v>57</v>
      </c>
      <c r="F47" s="53">
        <f t="shared" si="4"/>
        <v>4.3499999999999996</v>
      </c>
      <c r="G47" s="254">
        <v>3.04</v>
      </c>
      <c r="H47" s="81">
        <f>IF($B$83="Yes",(B47*F47)*32,(B47*C47)*32)</f>
        <v>0</v>
      </c>
      <c r="I47" s="130"/>
      <c r="J47" s="130"/>
      <c r="K47" s="138"/>
      <c r="L47" s="130"/>
    </row>
    <row r="48" spans="1:12" ht="13" x14ac:dyDescent="0.3">
      <c r="A48" s="107" t="s">
        <v>392</v>
      </c>
      <c r="B48" s="3"/>
      <c r="C48" s="53">
        <f t="shared" si="3"/>
        <v>4.3499999999999996</v>
      </c>
      <c r="D48" s="283">
        <v>3.04</v>
      </c>
      <c r="E48" s="233" t="s">
        <v>57</v>
      </c>
      <c r="F48" s="53">
        <f t="shared" si="4"/>
        <v>4.3499999999999996</v>
      </c>
      <c r="G48" s="254">
        <v>3.04</v>
      </c>
      <c r="H48" s="81">
        <f>IF($B$83="Yes",(B48*F48)*35,(B48*C48)*35)</f>
        <v>0</v>
      </c>
      <c r="I48" s="130"/>
      <c r="J48" s="130"/>
      <c r="K48" s="138"/>
      <c r="L48" s="130"/>
    </row>
    <row r="49" spans="1:12" ht="13" x14ac:dyDescent="0.3">
      <c r="A49" s="107" t="s">
        <v>393</v>
      </c>
      <c r="B49" s="3"/>
      <c r="C49" s="53">
        <f t="shared" si="3"/>
        <v>4.3499999999999996</v>
      </c>
      <c r="D49" s="283">
        <v>3.04</v>
      </c>
      <c r="E49" s="233" t="s">
        <v>57</v>
      </c>
      <c r="F49" s="53">
        <f t="shared" si="4"/>
        <v>4.3499999999999996</v>
      </c>
      <c r="G49" s="254">
        <v>3.04</v>
      </c>
      <c r="H49" s="81">
        <f>IF($B$83="Yes",(B49*F49)*31,(B49*C49)*31)</f>
        <v>0</v>
      </c>
      <c r="I49" s="130"/>
      <c r="J49" s="130"/>
      <c r="K49" s="138"/>
      <c r="L49" s="130"/>
    </row>
    <row r="50" spans="1:12" ht="13" x14ac:dyDescent="0.3">
      <c r="A50" s="107" t="s">
        <v>394</v>
      </c>
      <c r="B50" s="3"/>
      <c r="C50" s="53">
        <f t="shared" si="3"/>
        <v>4.3499999999999996</v>
      </c>
      <c r="D50" s="283">
        <v>3.04</v>
      </c>
      <c r="E50" s="233" t="s">
        <v>57</v>
      </c>
      <c r="F50" s="53">
        <f t="shared" si="4"/>
        <v>4.3499999999999996</v>
      </c>
      <c r="G50" s="254">
        <v>3.04</v>
      </c>
      <c r="H50" s="81">
        <f>IF($B$83="Yes",(B50*F50)*24,(B50*C50)*24)</f>
        <v>0</v>
      </c>
      <c r="I50" s="130"/>
      <c r="J50" s="130"/>
      <c r="K50" s="138"/>
      <c r="L50" s="130"/>
    </row>
    <row r="51" spans="1:12" ht="13" x14ac:dyDescent="0.3">
      <c r="A51" s="107" t="s">
        <v>395</v>
      </c>
      <c r="B51" s="3"/>
      <c r="C51" s="53">
        <f t="shared" si="3"/>
        <v>4.3499999999999996</v>
      </c>
      <c r="D51" s="283">
        <v>3.04</v>
      </c>
      <c r="E51" s="233" t="s">
        <v>57</v>
      </c>
      <c r="F51" s="53">
        <f t="shared" si="4"/>
        <v>4.3499999999999996</v>
      </c>
      <c r="G51" s="254">
        <v>3.04</v>
      </c>
      <c r="H51" s="81">
        <f>IF($B$83="Yes",(B51*F51)*15,(B51*C51)*15)</f>
        <v>0</v>
      </c>
      <c r="I51" s="130"/>
      <c r="J51" s="130"/>
      <c r="K51" s="138"/>
      <c r="L51" s="130"/>
    </row>
    <row r="52" spans="1:12" x14ac:dyDescent="0.25">
      <c r="A52" s="107" t="s">
        <v>362</v>
      </c>
      <c r="B52" s="3"/>
      <c r="C52" s="53">
        <f t="shared" si="3"/>
        <v>5.08</v>
      </c>
      <c r="D52" s="283">
        <v>3.55</v>
      </c>
      <c r="E52" s="233" t="s">
        <v>388</v>
      </c>
      <c r="F52" s="53">
        <f t="shared" si="4"/>
        <v>5.08</v>
      </c>
      <c r="G52" s="254">
        <v>3.55</v>
      </c>
      <c r="H52" s="81">
        <f t="shared" ref="H52:H73" si="5">IF($B$83="Yes",B52*F52,B52*C52)</f>
        <v>0</v>
      </c>
      <c r="I52" s="130"/>
      <c r="J52" s="130"/>
      <c r="K52" s="138"/>
      <c r="L52" s="130"/>
    </row>
    <row r="53" spans="1:12" x14ac:dyDescent="0.25">
      <c r="A53" s="107" t="s">
        <v>363</v>
      </c>
      <c r="B53" s="3"/>
      <c r="C53" s="53">
        <f t="shared" si="3"/>
        <v>2.91</v>
      </c>
      <c r="D53" s="283">
        <v>2.0299999999999998</v>
      </c>
      <c r="E53" s="233" t="s">
        <v>388</v>
      </c>
      <c r="F53" s="53">
        <f t="shared" si="4"/>
        <v>2.91</v>
      </c>
      <c r="G53" s="254">
        <v>2.0299999999999998</v>
      </c>
      <c r="H53" s="81">
        <f t="shared" si="5"/>
        <v>0</v>
      </c>
      <c r="I53" s="130"/>
      <c r="J53" s="130"/>
      <c r="K53" s="138"/>
      <c r="L53" s="130"/>
    </row>
    <row r="54" spans="1:12" x14ac:dyDescent="0.25">
      <c r="A54" s="282" t="s">
        <v>364</v>
      </c>
      <c r="B54" s="3"/>
      <c r="C54" s="53">
        <f t="shared" si="3"/>
        <v>2.91</v>
      </c>
      <c r="D54" s="283">
        <v>2.0299999999999998</v>
      </c>
      <c r="E54" s="233" t="s">
        <v>388</v>
      </c>
      <c r="F54" s="53">
        <f t="shared" si="4"/>
        <v>2.91</v>
      </c>
      <c r="G54" s="254">
        <v>2.0299999999999998</v>
      </c>
      <c r="H54" s="81">
        <f t="shared" si="5"/>
        <v>0</v>
      </c>
      <c r="I54" s="130"/>
      <c r="J54" s="130"/>
      <c r="K54" s="138"/>
      <c r="L54" s="130"/>
    </row>
    <row r="55" spans="1:12" x14ac:dyDescent="0.25">
      <c r="A55" s="107" t="s">
        <v>365</v>
      </c>
      <c r="B55" s="3"/>
      <c r="C55" s="53">
        <f t="shared" si="3"/>
        <v>2.91</v>
      </c>
      <c r="D55" s="283">
        <v>2.0299999999999998</v>
      </c>
      <c r="E55" s="233" t="s">
        <v>388</v>
      </c>
      <c r="F55" s="53">
        <f t="shared" si="4"/>
        <v>2.91</v>
      </c>
      <c r="G55" s="254">
        <v>2.0299999999999998</v>
      </c>
      <c r="H55" s="81">
        <f t="shared" si="5"/>
        <v>0</v>
      </c>
      <c r="I55" s="130"/>
      <c r="J55" s="130"/>
      <c r="K55" s="138"/>
      <c r="L55" s="130"/>
    </row>
    <row r="56" spans="1:12" x14ac:dyDescent="0.25">
      <c r="A56" s="107" t="s">
        <v>366</v>
      </c>
      <c r="B56" s="3"/>
      <c r="C56" s="53">
        <f t="shared" si="3"/>
        <v>2.91</v>
      </c>
      <c r="D56" s="283">
        <v>2.0299999999999998</v>
      </c>
      <c r="E56" s="233" t="s">
        <v>388</v>
      </c>
      <c r="F56" s="53">
        <f t="shared" si="4"/>
        <v>2.91</v>
      </c>
      <c r="G56" s="254">
        <v>2.0299999999999998</v>
      </c>
      <c r="H56" s="81">
        <f t="shared" si="5"/>
        <v>0</v>
      </c>
      <c r="I56" s="130"/>
      <c r="J56" s="130"/>
      <c r="K56" s="138"/>
      <c r="L56" s="130"/>
    </row>
    <row r="57" spans="1:12" x14ac:dyDescent="0.25">
      <c r="A57" s="107" t="s">
        <v>367</v>
      </c>
      <c r="B57" s="3"/>
      <c r="C57" s="53">
        <f t="shared" si="3"/>
        <v>3.26</v>
      </c>
      <c r="D57" s="283">
        <v>2.2799999999999998</v>
      </c>
      <c r="E57" s="233" t="s">
        <v>388</v>
      </c>
      <c r="F57" s="53">
        <f t="shared" si="4"/>
        <v>3.26</v>
      </c>
      <c r="G57" s="254">
        <v>2.2799999999999998</v>
      </c>
      <c r="H57" s="81">
        <f t="shared" si="5"/>
        <v>0</v>
      </c>
      <c r="I57" s="130"/>
      <c r="J57" s="130"/>
      <c r="K57" s="138"/>
      <c r="L57" s="130"/>
    </row>
    <row r="58" spans="1:12" x14ac:dyDescent="0.25">
      <c r="A58" s="107" t="s">
        <v>368</v>
      </c>
      <c r="B58" s="3"/>
      <c r="C58" s="53">
        <f t="shared" si="3"/>
        <v>3.26</v>
      </c>
      <c r="D58" s="283">
        <v>2.2799999999999998</v>
      </c>
      <c r="E58" s="233" t="s">
        <v>388</v>
      </c>
      <c r="F58" s="53">
        <f t="shared" si="4"/>
        <v>3.26</v>
      </c>
      <c r="G58" s="254">
        <v>2.2799999999999998</v>
      </c>
      <c r="H58" s="81">
        <f t="shared" si="5"/>
        <v>0</v>
      </c>
      <c r="I58" s="130"/>
      <c r="J58" s="130"/>
      <c r="K58" s="138"/>
      <c r="L58" s="130"/>
    </row>
    <row r="59" spans="1:12" x14ac:dyDescent="0.25">
      <c r="A59" s="107" t="s">
        <v>369</v>
      </c>
      <c r="B59" s="3"/>
      <c r="C59" s="53">
        <f t="shared" si="3"/>
        <v>3.62</v>
      </c>
      <c r="D59" s="283">
        <v>2.5299999999999998</v>
      </c>
      <c r="E59" s="233" t="s">
        <v>388</v>
      </c>
      <c r="F59" s="53">
        <f t="shared" si="4"/>
        <v>3.62</v>
      </c>
      <c r="G59" s="254">
        <v>2.5299999999999998</v>
      </c>
      <c r="H59" s="81">
        <f t="shared" si="5"/>
        <v>0</v>
      </c>
      <c r="I59" s="130"/>
      <c r="J59" s="130"/>
      <c r="K59" s="138"/>
      <c r="L59" s="130"/>
    </row>
    <row r="60" spans="1:12" x14ac:dyDescent="0.25">
      <c r="A60" s="107" t="s">
        <v>370</v>
      </c>
      <c r="B60" s="3"/>
      <c r="C60" s="53">
        <f t="shared" si="3"/>
        <v>3.62</v>
      </c>
      <c r="D60" s="283">
        <v>2.5299999999999998</v>
      </c>
      <c r="E60" s="233" t="s">
        <v>388</v>
      </c>
      <c r="F60" s="53">
        <f t="shared" si="4"/>
        <v>3.62</v>
      </c>
      <c r="G60" s="254">
        <v>2.5299999999999998</v>
      </c>
      <c r="H60" s="81">
        <f t="shared" si="5"/>
        <v>0</v>
      </c>
      <c r="I60" s="130"/>
      <c r="J60" s="130"/>
      <c r="K60" s="138"/>
      <c r="L60" s="130"/>
    </row>
    <row r="61" spans="1:12" x14ac:dyDescent="0.25">
      <c r="A61" s="282" t="s">
        <v>371</v>
      </c>
      <c r="B61" s="3"/>
      <c r="C61" s="53">
        <f t="shared" si="3"/>
        <v>3.26</v>
      </c>
      <c r="D61" s="283">
        <v>2.2799999999999998</v>
      </c>
      <c r="E61" s="233" t="s">
        <v>388</v>
      </c>
      <c r="F61" s="53">
        <f t="shared" si="4"/>
        <v>3.26</v>
      </c>
      <c r="G61" s="254">
        <v>2.2799999999999998</v>
      </c>
      <c r="H61" s="81">
        <f t="shared" si="5"/>
        <v>0</v>
      </c>
      <c r="I61" s="130"/>
      <c r="J61" s="130"/>
      <c r="K61" s="138"/>
      <c r="L61" s="130"/>
    </row>
    <row r="62" spans="1:12" x14ac:dyDescent="0.25">
      <c r="A62" s="107" t="s">
        <v>372</v>
      </c>
      <c r="B62" s="3"/>
      <c r="C62" s="53">
        <f t="shared" si="3"/>
        <v>3.26</v>
      </c>
      <c r="D62" s="283">
        <v>2.2799999999999998</v>
      </c>
      <c r="E62" s="233" t="s">
        <v>388</v>
      </c>
      <c r="F62" s="53">
        <f t="shared" si="4"/>
        <v>3.26</v>
      </c>
      <c r="G62" s="254">
        <v>2.2799999999999998</v>
      </c>
      <c r="H62" s="81">
        <f t="shared" si="5"/>
        <v>0</v>
      </c>
      <c r="I62" s="130"/>
      <c r="J62" s="130"/>
      <c r="K62" s="138"/>
      <c r="L62" s="130"/>
    </row>
    <row r="63" spans="1:12" x14ac:dyDescent="0.25">
      <c r="A63" s="107" t="s">
        <v>373</v>
      </c>
      <c r="B63" s="3"/>
      <c r="C63" s="53">
        <f t="shared" si="3"/>
        <v>2.91</v>
      </c>
      <c r="D63" s="283">
        <v>2.0299999999999998</v>
      </c>
      <c r="E63" s="233" t="s">
        <v>388</v>
      </c>
      <c r="F63" s="53">
        <f t="shared" si="4"/>
        <v>2.91</v>
      </c>
      <c r="G63" s="254">
        <v>2.0299999999999998</v>
      </c>
      <c r="H63" s="81">
        <f t="shared" si="5"/>
        <v>0</v>
      </c>
      <c r="I63" s="130"/>
      <c r="J63" s="130"/>
      <c r="K63" s="138"/>
      <c r="L63" s="130"/>
    </row>
    <row r="64" spans="1:12" x14ac:dyDescent="0.25">
      <c r="A64" s="107" t="s">
        <v>374</v>
      </c>
      <c r="B64" s="3"/>
      <c r="C64" s="53">
        <f t="shared" si="3"/>
        <v>6.53</v>
      </c>
      <c r="D64" s="283">
        <v>4.5599999999999996</v>
      </c>
      <c r="E64" s="233" t="s">
        <v>388</v>
      </c>
      <c r="F64" s="53">
        <f t="shared" si="4"/>
        <v>6.53</v>
      </c>
      <c r="G64" s="254">
        <v>4.5599999999999996</v>
      </c>
      <c r="H64" s="81">
        <f t="shared" si="5"/>
        <v>0</v>
      </c>
      <c r="I64" s="130"/>
      <c r="J64" s="130"/>
      <c r="K64" s="138"/>
      <c r="L64" s="130"/>
    </row>
    <row r="65" spans="1:12" x14ac:dyDescent="0.25">
      <c r="A65" s="107" t="s">
        <v>375</v>
      </c>
      <c r="B65" s="3"/>
      <c r="C65" s="53">
        <f t="shared" si="3"/>
        <v>6.53</v>
      </c>
      <c r="D65" s="283">
        <v>4.5599999999999996</v>
      </c>
      <c r="E65" s="233" t="s">
        <v>388</v>
      </c>
      <c r="F65" s="53">
        <f t="shared" si="4"/>
        <v>6.53</v>
      </c>
      <c r="G65" s="254">
        <v>4.5599999999999996</v>
      </c>
      <c r="H65" s="81">
        <f t="shared" si="5"/>
        <v>0</v>
      </c>
      <c r="I65" s="130"/>
      <c r="J65" s="130"/>
      <c r="K65" s="138"/>
      <c r="L65" s="130"/>
    </row>
    <row r="66" spans="1:12" x14ac:dyDescent="0.25">
      <c r="A66" s="107" t="s">
        <v>376</v>
      </c>
      <c r="B66" s="3"/>
      <c r="C66" s="53">
        <f t="shared" si="3"/>
        <v>6.53</v>
      </c>
      <c r="D66" s="283">
        <v>4.5599999999999996</v>
      </c>
      <c r="E66" s="233" t="s">
        <v>388</v>
      </c>
      <c r="F66" s="53">
        <f t="shared" si="4"/>
        <v>6.53</v>
      </c>
      <c r="G66" s="254">
        <v>4.5599999999999996</v>
      </c>
      <c r="H66" s="81">
        <f t="shared" si="5"/>
        <v>0</v>
      </c>
      <c r="I66" s="130"/>
      <c r="J66" s="130"/>
      <c r="K66" s="138"/>
      <c r="L66" s="130"/>
    </row>
    <row r="67" spans="1:12" x14ac:dyDescent="0.25">
      <c r="A67" s="107" t="s">
        <v>377</v>
      </c>
      <c r="B67" s="3"/>
      <c r="C67" s="53">
        <f t="shared" si="3"/>
        <v>6.53</v>
      </c>
      <c r="D67" s="283">
        <v>4.5599999999999996</v>
      </c>
      <c r="E67" s="233" t="s">
        <v>388</v>
      </c>
      <c r="F67" s="53">
        <f t="shared" si="4"/>
        <v>6.53</v>
      </c>
      <c r="G67" s="254">
        <v>4.5599999999999996</v>
      </c>
      <c r="H67" s="81">
        <f t="shared" si="5"/>
        <v>0</v>
      </c>
      <c r="I67" s="130"/>
      <c r="J67" s="130"/>
      <c r="K67" s="138"/>
      <c r="L67" s="130"/>
    </row>
    <row r="68" spans="1:12" x14ac:dyDescent="0.25">
      <c r="A68" s="107" t="s">
        <v>378</v>
      </c>
      <c r="B68" s="3"/>
      <c r="C68" s="53">
        <f t="shared" si="3"/>
        <v>4.3499999999999996</v>
      </c>
      <c r="D68" s="283">
        <v>3.04</v>
      </c>
      <c r="E68" s="233" t="s">
        <v>388</v>
      </c>
      <c r="F68" s="53">
        <f t="shared" si="4"/>
        <v>4.3499999999999996</v>
      </c>
      <c r="G68" s="254">
        <v>3.04</v>
      </c>
      <c r="H68" s="81">
        <f t="shared" si="5"/>
        <v>0</v>
      </c>
      <c r="I68" s="130"/>
      <c r="J68" s="130"/>
      <c r="K68" s="138"/>
      <c r="L68" s="130"/>
    </row>
    <row r="69" spans="1:12" x14ac:dyDescent="0.25">
      <c r="A69" s="107" t="s">
        <v>379</v>
      </c>
      <c r="B69" s="3"/>
      <c r="C69" s="53">
        <f t="shared" si="3"/>
        <v>5.8</v>
      </c>
      <c r="D69" s="283">
        <v>4.05</v>
      </c>
      <c r="E69" s="233" t="s">
        <v>388</v>
      </c>
      <c r="F69" s="53">
        <f t="shared" si="4"/>
        <v>5.8</v>
      </c>
      <c r="G69" s="254">
        <v>4.05</v>
      </c>
      <c r="H69" s="81">
        <f t="shared" si="5"/>
        <v>0</v>
      </c>
      <c r="I69" s="130"/>
      <c r="J69" s="130"/>
      <c r="K69" s="138"/>
      <c r="L69" s="130"/>
    </row>
    <row r="70" spans="1:12" x14ac:dyDescent="0.25">
      <c r="A70" s="107" t="s">
        <v>380</v>
      </c>
      <c r="B70" s="3"/>
      <c r="C70" s="53">
        <f t="shared" si="3"/>
        <v>5.8</v>
      </c>
      <c r="D70" s="283">
        <v>4.05</v>
      </c>
      <c r="E70" s="233" t="s">
        <v>388</v>
      </c>
      <c r="F70" s="53">
        <f t="shared" si="4"/>
        <v>5.8</v>
      </c>
      <c r="G70" s="254">
        <v>4.05</v>
      </c>
      <c r="H70" s="81">
        <f t="shared" si="5"/>
        <v>0</v>
      </c>
      <c r="I70" s="130"/>
      <c r="J70" s="130"/>
      <c r="K70" s="138"/>
      <c r="L70" s="130"/>
    </row>
    <row r="71" spans="1:12" x14ac:dyDescent="0.25">
      <c r="A71" s="107" t="s">
        <v>381</v>
      </c>
      <c r="B71" s="3"/>
      <c r="C71" s="53">
        <f t="shared" si="3"/>
        <v>2.91</v>
      </c>
      <c r="D71" s="283">
        <v>2.0299999999999998</v>
      </c>
      <c r="E71" s="233" t="s">
        <v>388</v>
      </c>
      <c r="F71" s="53">
        <f t="shared" si="4"/>
        <v>2.91</v>
      </c>
      <c r="G71" s="254">
        <v>2.0299999999999998</v>
      </c>
      <c r="H71" s="81">
        <f t="shared" si="5"/>
        <v>0</v>
      </c>
      <c r="I71" s="130"/>
      <c r="J71" s="130"/>
      <c r="K71" s="138"/>
      <c r="L71" s="130"/>
    </row>
    <row r="72" spans="1:12" x14ac:dyDescent="0.25">
      <c r="A72" s="107" t="s">
        <v>382</v>
      </c>
      <c r="B72" s="3"/>
      <c r="C72" s="53">
        <f t="shared" si="3"/>
        <v>2.91</v>
      </c>
      <c r="D72" s="283">
        <v>2.0299999999999998</v>
      </c>
      <c r="E72" s="233" t="s">
        <v>388</v>
      </c>
      <c r="F72" s="53">
        <f t="shared" si="4"/>
        <v>2.91</v>
      </c>
      <c r="G72" s="254">
        <v>2.0299999999999998</v>
      </c>
      <c r="H72" s="81">
        <f t="shared" si="5"/>
        <v>0</v>
      </c>
      <c r="I72" s="130"/>
      <c r="J72" s="130"/>
      <c r="K72" s="138"/>
      <c r="L72" s="130"/>
    </row>
    <row r="73" spans="1:12" x14ac:dyDescent="0.25">
      <c r="A73" s="107" t="s">
        <v>383</v>
      </c>
      <c r="B73" s="3"/>
      <c r="C73" s="53">
        <f t="shared" si="3"/>
        <v>5.8</v>
      </c>
      <c r="D73" s="283">
        <v>4.05</v>
      </c>
      <c r="E73" s="233" t="s">
        <v>388</v>
      </c>
      <c r="F73" s="53">
        <f t="shared" si="4"/>
        <v>5.8</v>
      </c>
      <c r="G73" s="254">
        <v>4.05</v>
      </c>
      <c r="H73" s="81">
        <f t="shared" si="5"/>
        <v>0</v>
      </c>
      <c r="I73" s="130"/>
      <c r="J73" s="130"/>
      <c r="K73" s="138"/>
      <c r="L73" s="130"/>
    </row>
    <row r="74" spans="1:12" x14ac:dyDescent="0.25">
      <c r="A74" s="107" t="s">
        <v>396</v>
      </c>
      <c r="B74" s="225"/>
      <c r="C74" s="156"/>
      <c r="D74" s="167"/>
      <c r="E74" s="2"/>
      <c r="F74" s="130"/>
      <c r="G74" s="284"/>
      <c r="H74" s="238"/>
      <c r="I74" s="130"/>
      <c r="J74" s="130"/>
      <c r="K74" s="138"/>
      <c r="L74" s="130"/>
    </row>
    <row r="75" spans="1:12" ht="13" x14ac:dyDescent="0.3">
      <c r="A75" s="107" t="s">
        <v>390</v>
      </c>
      <c r="B75" s="3"/>
      <c r="C75" s="53">
        <f t="shared" ref="C75:C81" si="6">ROUND(CPI*D75,2)</f>
        <v>5.8</v>
      </c>
      <c r="D75" s="283">
        <v>4.05</v>
      </c>
      <c r="E75" s="233" t="s">
        <v>57</v>
      </c>
      <c r="F75" s="53">
        <f t="shared" ref="F75:F81" si="7">ROUND(CPI*G75,2)</f>
        <v>5.8</v>
      </c>
      <c r="G75" s="254">
        <v>4.05</v>
      </c>
      <c r="H75" s="81">
        <f>IF($B$83="Yes",(B75*F75)*22,(B75*C75)*22)</f>
        <v>0</v>
      </c>
      <c r="I75" s="130"/>
      <c r="J75" s="130"/>
      <c r="K75" s="138"/>
      <c r="L75" s="130"/>
    </row>
    <row r="76" spans="1:12" ht="13" x14ac:dyDescent="0.3">
      <c r="A76" s="107" t="s">
        <v>391</v>
      </c>
      <c r="B76" s="3"/>
      <c r="C76" s="53">
        <f t="shared" si="6"/>
        <v>5.8</v>
      </c>
      <c r="D76" s="283">
        <v>4.05</v>
      </c>
      <c r="E76" s="233" t="s">
        <v>57</v>
      </c>
      <c r="F76" s="53">
        <f t="shared" si="7"/>
        <v>5.8</v>
      </c>
      <c r="G76" s="254">
        <v>4.05</v>
      </c>
      <c r="H76" s="81">
        <f>IF($B$83="Yes",(B76*F76)*32,(B76*C76)*32)</f>
        <v>0</v>
      </c>
      <c r="I76" s="130"/>
      <c r="J76" s="130"/>
      <c r="K76" s="138"/>
      <c r="L76" s="130"/>
    </row>
    <row r="77" spans="1:12" ht="13" x14ac:dyDescent="0.3">
      <c r="A77" s="107" t="s">
        <v>392</v>
      </c>
      <c r="B77" s="3"/>
      <c r="C77" s="53">
        <f t="shared" si="6"/>
        <v>5.8</v>
      </c>
      <c r="D77" s="283">
        <v>4.05</v>
      </c>
      <c r="E77" s="233" t="s">
        <v>57</v>
      </c>
      <c r="F77" s="53">
        <f t="shared" si="7"/>
        <v>5.8</v>
      </c>
      <c r="G77" s="254">
        <v>4.05</v>
      </c>
      <c r="H77" s="81">
        <f>IF($B$83="Yes",(B77*F77)*35,(B77*C77)*35)</f>
        <v>0</v>
      </c>
      <c r="I77" s="130"/>
      <c r="J77" s="130"/>
      <c r="K77" s="138"/>
      <c r="L77" s="130"/>
    </row>
    <row r="78" spans="1:12" ht="13" x14ac:dyDescent="0.3">
      <c r="A78" s="107" t="s">
        <v>393</v>
      </c>
      <c r="B78" s="3"/>
      <c r="C78" s="53">
        <f t="shared" si="6"/>
        <v>5.8</v>
      </c>
      <c r="D78" s="283">
        <v>4.05</v>
      </c>
      <c r="E78" s="233" t="s">
        <v>57</v>
      </c>
      <c r="F78" s="53">
        <f t="shared" si="7"/>
        <v>5.8</v>
      </c>
      <c r="G78" s="254">
        <v>4.05</v>
      </c>
      <c r="H78" s="81">
        <f>IF($B$83="Yes",(B78*F78)*31,(B78*C78)*31)</f>
        <v>0</v>
      </c>
      <c r="I78" s="130"/>
      <c r="J78" s="130"/>
      <c r="K78" s="138"/>
      <c r="L78" s="130"/>
    </row>
    <row r="79" spans="1:12" ht="13" x14ac:dyDescent="0.3">
      <c r="A79" s="107" t="s">
        <v>394</v>
      </c>
      <c r="B79" s="3"/>
      <c r="C79" s="53">
        <f t="shared" si="6"/>
        <v>5.8</v>
      </c>
      <c r="D79" s="283">
        <v>4.05</v>
      </c>
      <c r="E79" s="233" t="s">
        <v>57</v>
      </c>
      <c r="F79" s="53">
        <f t="shared" si="7"/>
        <v>5.8</v>
      </c>
      <c r="G79" s="254">
        <v>4.05</v>
      </c>
      <c r="H79" s="81">
        <f>IF($B$83="Yes",(B79*F79)*24,(B79*C79)*24)</f>
        <v>0</v>
      </c>
      <c r="I79" s="130"/>
      <c r="J79" s="130"/>
      <c r="K79" s="138"/>
      <c r="L79" s="130"/>
    </row>
    <row r="80" spans="1:12" ht="13" x14ac:dyDescent="0.3">
      <c r="A80" s="107" t="s">
        <v>395</v>
      </c>
      <c r="B80" s="3"/>
      <c r="C80" s="53">
        <f t="shared" si="6"/>
        <v>5.8</v>
      </c>
      <c r="D80" s="283">
        <v>4.05</v>
      </c>
      <c r="E80" s="233" t="s">
        <v>57</v>
      </c>
      <c r="F80" s="53">
        <f t="shared" si="7"/>
        <v>5.8</v>
      </c>
      <c r="G80" s="254">
        <v>4.05</v>
      </c>
      <c r="H80" s="81">
        <f>IF($B$83="Yes",(B80*F80)*15,(B80*C80)*15)</f>
        <v>0</v>
      </c>
      <c r="I80" s="130"/>
      <c r="J80" s="130"/>
      <c r="K80" s="138"/>
      <c r="L80" s="130"/>
    </row>
    <row r="81" spans="1:12" ht="13" thickBot="1" x14ac:dyDescent="0.3">
      <c r="A81" s="226" t="s">
        <v>384</v>
      </c>
      <c r="B81" s="6"/>
      <c r="C81" s="53">
        <f t="shared" si="6"/>
        <v>4.3499999999999996</v>
      </c>
      <c r="D81" s="285">
        <v>3.04</v>
      </c>
      <c r="E81" s="233" t="s">
        <v>388</v>
      </c>
      <c r="F81" s="53">
        <f t="shared" si="7"/>
        <v>4.3499999999999996</v>
      </c>
      <c r="G81" s="286">
        <v>3.04</v>
      </c>
      <c r="H81" s="81">
        <f>IF($B$83="Yes",B81*F81,B81*C81)</f>
        <v>0</v>
      </c>
      <c r="I81" s="130"/>
      <c r="J81" s="130"/>
      <c r="K81" s="138"/>
      <c r="L81" s="130"/>
    </row>
    <row r="82" spans="1:12" ht="13.5" thickBot="1" x14ac:dyDescent="0.35">
      <c r="A82" s="142"/>
      <c r="B82" s="142"/>
      <c r="C82" s="510" t="s">
        <v>405</v>
      </c>
      <c r="D82" s="511"/>
      <c r="E82" s="511"/>
      <c r="F82" s="512"/>
      <c r="G82" s="240"/>
      <c r="H82" s="83">
        <f>SUM(H16:H81)</f>
        <v>0</v>
      </c>
      <c r="I82" s="130"/>
      <c r="J82" s="130"/>
      <c r="K82" s="138"/>
      <c r="L82" s="130"/>
    </row>
    <row r="83" spans="1:12" ht="13" thickBot="1" x14ac:dyDescent="0.3">
      <c r="A83" s="243" t="s">
        <v>411</v>
      </c>
      <c r="B83" s="7"/>
      <c r="C83" s="138"/>
      <c r="D83" s="138"/>
      <c r="E83" s="138"/>
      <c r="F83" s="127"/>
      <c r="G83" s="127"/>
      <c r="H83" s="141"/>
      <c r="I83" s="130"/>
      <c r="J83" s="130"/>
      <c r="K83" s="138"/>
      <c r="L83" s="130"/>
    </row>
    <row r="84" spans="1:12" x14ac:dyDescent="0.25">
      <c r="A84" s="2"/>
      <c r="B84" s="101"/>
      <c r="C84" s="100"/>
      <c r="D84" s="100"/>
      <c r="E84" s="100"/>
      <c r="F84" s="2"/>
      <c r="G84" s="2"/>
      <c r="H84" s="2"/>
    </row>
    <row r="85" spans="1:12" x14ac:dyDescent="0.25">
      <c r="A85" s="2"/>
      <c r="B85" s="101"/>
      <c r="C85" s="100"/>
      <c r="D85" s="100"/>
      <c r="E85" s="100"/>
      <c r="F85" s="2"/>
      <c r="G85" s="2"/>
      <c r="H85" s="2"/>
    </row>
    <row r="86" spans="1:12" x14ac:dyDescent="0.25">
      <c r="B86" s="101"/>
      <c r="C86" s="100"/>
      <c r="D86" s="100"/>
      <c r="E86" s="100"/>
      <c r="F86" s="2"/>
      <c r="G86" s="2"/>
      <c r="H86" s="2"/>
    </row>
    <row r="87" spans="1:12" x14ac:dyDescent="0.25">
      <c r="A87" s="281"/>
      <c r="B87" s="101"/>
      <c r="C87" s="100"/>
      <c r="D87" s="100"/>
      <c r="E87" s="100"/>
      <c r="F87" s="2"/>
      <c r="G87" s="2"/>
      <c r="H87" s="2"/>
    </row>
    <row r="88" spans="1:12" x14ac:dyDescent="0.25">
      <c r="A88" s="281"/>
      <c r="B88" s="101"/>
      <c r="C88" s="100"/>
      <c r="D88" s="100"/>
      <c r="E88" s="100"/>
      <c r="F88" s="2"/>
      <c r="G88" s="2"/>
      <c r="H88" s="2"/>
    </row>
    <row r="89" spans="1:12" x14ac:dyDescent="0.25">
      <c r="A89" s="2"/>
      <c r="B89" s="101"/>
      <c r="C89" s="100"/>
      <c r="D89" s="100"/>
      <c r="E89" s="100"/>
      <c r="F89" s="2"/>
      <c r="G89" s="2"/>
      <c r="H89" s="2"/>
    </row>
  </sheetData>
  <sheetProtection algorithmName="SHA-512" hashValue="jQSHIDvpIX9opJa3PeFpDyTINm4AM6o+vE7almvZtZtRtjWu8O0irAfVvSrS+dt6iqTgIl3KfjPBPlNzj4bsbA==" saltValue="poTGoUrpWW1On1+N7m1JrA==" spinCount="100000" sheet="1" insertRows="0" selectLockedCells="1"/>
  <mergeCells count="4">
    <mergeCell ref="A13:H13"/>
    <mergeCell ref="C14:F14"/>
    <mergeCell ref="C15:E15"/>
    <mergeCell ref="C82:F82"/>
  </mergeCells>
  <dataValidations disablePrompts="1" count="1">
    <dataValidation type="list" allowBlank="1" showInputMessage="1" showErrorMessage="1" sqref="B83" xr:uid="{00000000-0002-0000-0200-000000000000}">
      <formula1>"Yes,No"</formula1>
    </dataValidation>
  </dataValidations>
  <printOptions horizontalCentered="1"/>
  <pageMargins left="0" right="0" top="0.51" bottom="0.4" header="0.23" footer="0.17"/>
  <pageSetup scale="92" orientation="portrait" r:id="rId1"/>
  <headerFooter alignWithMargins="0">
    <oddFooter>&amp;LFees Effective 07/01/2025&amp;RPage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view="pageLayout" zoomScaleNormal="100" zoomScaleSheetLayoutView="115" workbookViewId="0">
      <selection activeCell="J5" sqref="J5"/>
    </sheetView>
  </sheetViews>
  <sheetFormatPr defaultColWidth="9.08984375" defaultRowHeight="12.5" x14ac:dyDescent="0.25"/>
  <cols>
    <col min="1" max="1" width="17.36328125" customWidth="1"/>
    <col min="2" max="2" width="8" customWidth="1"/>
    <col min="3" max="3" width="6.08984375" customWidth="1"/>
    <col min="4" max="4" width="18" customWidth="1"/>
    <col min="5" max="5" width="2.6328125" customWidth="1"/>
    <col min="6" max="6" width="15" customWidth="1"/>
    <col min="7" max="7" width="11.453125" customWidth="1"/>
    <col min="8" max="8" width="11.453125" hidden="1" customWidth="1"/>
    <col min="9" max="9" width="9.54296875" bestFit="1" customWidth="1"/>
    <col min="10" max="10" width="16.08984375" bestFit="1" customWidth="1"/>
    <col min="11" max="11" width="5.453125" bestFit="1" customWidth="1"/>
  </cols>
  <sheetData>
    <row r="1" spans="1:11" ht="44.25" customHeight="1" thickTop="1" thickBot="1" x14ac:dyDescent="0.3">
      <c r="A1" s="513" t="s">
        <v>573</v>
      </c>
      <c r="B1" s="514"/>
      <c r="C1" s="514"/>
      <c r="D1" s="514"/>
      <c r="E1" s="514"/>
      <c r="F1" s="514"/>
      <c r="G1" s="514"/>
      <c r="H1" s="514"/>
      <c r="I1" s="514"/>
      <c r="J1" s="514"/>
      <c r="K1" s="515"/>
    </row>
    <row r="2" spans="1:11" ht="13" thickTop="1" x14ac:dyDescent="0.25">
      <c r="A2" s="291" t="s">
        <v>436</v>
      </c>
      <c r="B2" s="2"/>
      <c r="C2" s="2"/>
      <c r="D2" s="2"/>
      <c r="E2" s="2"/>
      <c r="F2" s="2"/>
      <c r="G2" s="2"/>
      <c r="H2" s="2"/>
      <c r="I2" s="2"/>
      <c r="J2" s="2"/>
      <c r="K2" s="292"/>
    </row>
    <row r="3" spans="1:11" ht="15.5" x14ac:dyDescent="0.35">
      <c r="A3" s="293" t="s">
        <v>437</v>
      </c>
      <c r="B3" s="294"/>
      <c r="C3" s="295"/>
      <c r="D3" s="295"/>
      <c r="E3" s="295"/>
      <c r="F3" s="294" t="s">
        <v>438</v>
      </c>
      <c r="G3" s="294"/>
      <c r="H3" s="294"/>
      <c r="I3" s="294"/>
      <c r="J3" s="295"/>
      <c r="K3" s="296"/>
    </row>
    <row r="4" spans="1:11" ht="15.5" x14ac:dyDescent="0.35">
      <c r="A4" s="297"/>
      <c r="B4" s="295"/>
      <c r="C4" s="295"/>
      <c r="D4" s="295"/>
      <c r="E4" s="295"/>
      <c r="F4" s="295"/>
      <c r="G4" s="295"/>
      <c r="H4" s="295"/>
      <c r="I4" s="295"/>
      <c r="J4" s="295"/>
      <c r="K4" s="296"/>
    </row>
    <row r="5" spans="1:11" ht="15.5" x14ac:dyDescent="0.35">
      <c r="A5" s="297" t="s">
        <v>439</v>
      </c>
      <c r="B5" s="295"/>
      <c r="C5" s="298"/>
      <c r="D5" s="295"/>
      <c r="E5" s="295"/>
      <c r="F5" s="295" t="s">
        <v>440</v>
      </c>
      <c r="G5" s="295"/>
      <c r="H5" s="295"/>
      <c r="I5" s="295"/>
      <c r="J5" s="23"/>
      <c r="K5" s="299" t="s">
        <v>441</v>
      </c>
    </row>
    <row r="6" spans="1:11" ht="15.5" x14ac:dyDescent="0.35">
      <c r="A6" s="297" t="s">
        <v>442</v>
      </c>
      <c r="B6" s="295"/>
      <c r="C6" s="298"/>
      <c r="D6" s="295"/>
      <c r="E6" s="295"/>
      <c r="F6" s="295" t="s">
        <v>443</v>
      </c>
      <c r="G6" s="295"/>
      <c r="H6" s="295"/>
      <c r="I6" s="295"/>
      <c r="J6" s="23"/>
      <c r="K6" s="299" t="s">
        <v>441</v>
      </c>
    </row>
    <row r="7" spans="1:11" ht="15.5" x14ac:dyDescent="0.35">
      <c r="A7" s="297" t="s">
        <v>444</v>
      </c>
      <c r="B7" s="295"/>
      <c r="C7" s="298"/>
      <c r="D7" s="295"/>
      <c r="E7" s="295"/>
      <c r="F7" s="295" t="s">
        <v>445</v>
      </c>
      <c r="G7" s="295"/>
      <c r="H7" s="295"/>
      <c r="I7" s="295"/>
      <c r="J7" s="23"/>
      <c r="K7" s="299" t="s">
        <v>441</v>
      </c>
    </row>
    <row r="8" spans="1:11" ht="16" thickBot="1" x14ac:dyDescent="0.4">
      <c r="A8" s="297" t="s">
        <v>446</v>
      </c>
      <c r="B8" s="295"/>
      <c r="C8" s="300"/>
      <c r="D8" s="295"/>
      <c r="E8" s="295"/>
      <c r="F8" s="295" t="s">
        <v>447</v>
      </c>
      <c r="G8" s="295"/>
      <c r="H8" s="295"/>
      <c r="I8" s="295"/>
      <c r="J8" s="24"/>
      <c r="K8" s="299" t="s">
        <v>441</v>
      </c>
    </row>
    <row r="9" spans="1:11" ht="16" thickTop="1" x14ac:dyDescent="0.35">
      <c r="A9" s="297" t="s">
        <v>448</v>
      </c>
      <c r="B9" s="295"/>
      <c r="C9" s="295"/>
      <c r="D9" s="295"/>
      <c r="E9" s="295"/>
      <c r="F9" s="295" t="s">
        <v>449</v>
      </c>
      <c r="G9" s="295"/>
      <c r="H9" s="295"/>
      <c r="I9" s="295"/>
      <c r="J9" s="68">
        <f>IF(J5&gt;J6,J5+J7+J8,J6+J7+J8)</f>
        <v>0</v>
      </c>
      <c r="K9" s="299" t="s">
        <v>441</v>
      </c>
    </row>
    <row r="10" spans="1:11" ht="13" thickBot="1" x14ac:dyDescent="0.3">
      <c r="A10" s="301"/>
      <c r="B10" s="302"/>
      <c r="C10" s="302"/>
      <c r="D10" s="302"/>
      <c r="E10" s="302"/>
      <c r="F10" s="302" t="s">
        <v>450</v>
      </c>
      <c r="G10" s="302"/>
      <c r="H10" s="302"/>
      <c r="I10" s="302"/>
      <c r="J10" s="302"/>
      <c r="K10" s="303"/>
    </row>
    <row r="11" spans="1:11" ht="14" thickTop="1" thickBot="1" x14ac:dyDescent="0.3">
      <c r="A11" s="291"/>
      <c r="B11" s="2"/>
      <c r="C11" s="2"/>
      <c r="D11" s="304" t="s">
        <v>451</v>
      </c>
      <c r="E11" s="305"/>
      <c r="F11" s="306"/>
      <c r="G11" s="307"/>
      <c r="H11" s="308"/>
      <c r="I11" s="306"/>
      <c r="J11" s="2"/>
      <c r="K11" s="292"/>
    </row>
    <row r="12" spans="1:11" ht="13" thickTop="1" x14ac:dyDescent="0.25">
      <c r="A12" s="309"/>
      <c r="B12" s="117"/>
      <c r="C12" s="2"/>
      <c r="D12" s="2"/>
      <c r="E12" s="2"/>
      <c r="F12" s="2"/>
      <c r="G12" s="2"/>
      <c r="H12" s="2"/>
      <c r="I12" s="2"/>
      <c r="J12" s="2"/>
      <c r="K12" s="292"/>
    </row>
    <row r="13" spans="1:11" ht="15.5" x14ac:dyDescent="0.35">
      <c r="A13" s="310" t="s">
        <v>452</v>
      </c>
      <c r="B13" s="311"/>
      <c r="C13" s="295"/>
      <c r="D13" s="69">
        <f>ROUND(IF(J9&gt;J47,(J9-J47)*F47+D47,IF(J9&gt;J46,(J9-J46)*F46+D46,IF(J9&gt;J45,(J9-J45)*F45+D45,IF(J9&gt;J44,(J9-J44)*F44+D44,IF(J9&gt;1,D43,IF(J9=0,0)))))),0)</f>
        <v>0</v>
      </c>
      <c r="E13" s="69"/>
      <c r="F13" s="295" t="s">
        <v>453</v>
      </c>
      <c r="G13" s="295"/>
      <c r="H13" s="295"/>
      <c r="I13" s="295"/>
      <c r="J13" s="70">
        <f>J9</f>
        <v>0</v>
      </c>
      <c r="K13" s="296" t="s">
        <v>441</v>
      </c>
    </row>
    <row r="14" spans="1:11" ht="15.5" x14ac:dyDescent="0.35">
      <c r="A14" s="297"/>
      <c r="B14" s="295"/>
      <c r="C14" s="295"/>
      <c r="D14" s="312"/>
      <c r="E14" s="312"/>
      <c r="F14" s="76"/>
      <c r="G14" s="76"/>
      <c r="H14" s="76"/>
      <c r="I14" s="76"/>
      <c r="J14" s="313"/>
      <c r="K14" s="314"/>
    </row>
    <row r="15" spans="1:11" ht="16" thickBot="1" x14ac:dyDescent="0.4">
      <c r="A15" s="297" t="s">
        <v>454</v>
      </c>
      <c r="B15" s="295"/>
      <c r="C15" s="25"/>
      <c r="D15" s="85">
        <f>IF(C15&gt;5,(C15-5)*0.1*D13,IF(C15&lt;6,0))</f>
        <v>0</v>
      </c>
      <c r="E15" s="72"/>
      <c r="F15" s="115" t="s">
        <v>487</v>
      </c>
      <c r="G15" s="315"/>
      <c r="H15" s="315"/>
      <c r="I15" s="315"/>
      <c r="J15" s="315"/>
      <c r="K15" s="292"/>
    </row>
    <row r="16" spans="1:11" ht="16" thickTop="1" x14ac:dyDescent="0.35">
      <c r="A16" s="297" t="s">
        <v>455</v>
      </c>
      <c r="B16" s="295"/>
      <c r="C16" s="311"/>
      <c r="D16" s="72">
        <f>D13+D15+IF(J52="Yes", I52,0)+IF(J53="Yes",I53,0)+IF(J54="Yes",I54,0)</f>
        <v>0</v>
      </c>
      <c r="E16" s="72"/>
      <c r="F16" s="76"/>
      <c r="G16" s="76"/>
      <c r="H16" s="76"/>
      <c r="I16" s="76"/>
      <c r="J16" s="315"/>
      <c r="K16" s="292"/>
    </row>
    <row r="17" spans="1:11" ht="15.5" x14ac:dyDescent="0.35">
      <c r="A17" s="297"/>
      <c r="B17" s="295"/>
      <c r="C17" s="311"/>
      <c r="D17" s="71"/>
      <c r="E17" s="71"/>
      <c r="F17" s="76"/>
      <c r="G17" s="76"/>
      <c r="H17" s="76"/>
      <c r="I17" s="76"/>
      <c r="J17" s="315"/>
      <c r="K17" s="292"/>
    </row>
    <row r="18" spans="1:11" ht="15.5" x14ac:dyDescent="0.35">
      <c r="A18" s="297" t="s">
        <v>490</v>
      </c>
      <c r="B18" s="290">
        <v>231</v>
      </c>
      <c r="C18" s="295" t="s">
        <v>456</v>
      </c>
      <c r="D18" s="71">
        <f>J18*B18</f>
        <v>0</v>
      </c>
      <c r="E18" s="71"/>
      <c r="F18" s="76" t="s">
        <v>453</v>
      </c>
      <c r="G18" s="76"/>
      <c r="H18" s="76"/>
      <c r="I18" s="76"/>
      <c r="J18" s="26"/>
      <c r="K18" s="292" t="s">
        <v>457</v>
      </c>
    </row>
    <row r="19" spans="1:11" ht="15.5" x14ac:dyDescent="0.35">
      <c r="A19" s="297"/>
      <c r="B19" s="295"/>
      <c r="C19" s="295"/>
      <c r="D19" s="71"/>
      <c r="E19" s="71"/>
      <c r="F19" s="76"/>
      <c r="G19" s="76"/>
      <c r="H19" s="76"/>
      <c r="I19" s="76"/>
      <c r="J19" s="315"/>
      <c r="K19" s="292"/>
    </row>
    <row r="20" spans="1:11" ht="15.5" x14ac:dyDescent="0.35">
      <c r="A20" s="297" t="s">
        <v>458</v>
      </c>
      <c r="B20" s="295"/>
      <c r="C20" s="295"/>
      <c r="D20" s="27"/>
      <c r="E20" s="27"/>
      <c r="F20" s="316"/>
      <c r="G20" s="316"/>
      <c r="H20" s="316"/>
      <c r="I20" s="316"/>
      <c r="J20" s="317"/>
      <c r="K20" s="314"/>
    </row>
    <row r="21" spans="1:11" ht="15.5" x14ac:dyDescent="0.35">
      <c r="A21" s="297"/>
      <c r="B21" s="295"/>
      <c r="C21" s="295"/>
      <c r="D21" s="318" t="s">
        <v>459</v>
      </c>
      <c r="E21" s="318"/>
      <c r="F21" s="2" t="s">
        <v>460</v>
      </c>
      <c r="G21" s="295"/>
      <c r="H21" s="295"/>
      <c r="I21" s="295"/>
      <c r="J21" s="295"/>
      <c r="K21" s="292"/>
    </row>
    <row r="22" spans="1:11" ht="15.5" x14ac:dyDescent="0.35">
      <c r="A22" s="297"/>
      <c r="B22" s="295"/>
      <c r="C22" s="295"/>
      <c r="D22" s="73">
        <f>IF(D16=0,(D18-D20),IF(D18=0,(D16-D20)))</f>
        <v>0</v>
      </c>
      <c r="E22" s="319"/>
      <c r="F22" s="320" t="s">
        <v>461</v>
      </c>
      <c r="G22" s="321"/>
      <c r="H22" s="321"/>
      <c r="I22" s="321"/>
      <c r="J22" s="295"/>
      <c r="K22" s="322"/>
    </row>
    <row r="23" spans="1:11" ht="16" thickBot="1" x14ac:dyDescent="0.4">
      <c r="A23" s="291" t="s">
        <v>462</v>
      </c>
      <c r="B23" s="295"/>
      <c r="C23" s="295"/>
      <c r="D23" s="295"/>
      <c r="E23" s="295"/>
      <c r="F23" s="295"/>
      <c r="G23" s="295"/>
      <c r="H23" s="295"/>
      <c r="I23" s="295"/>
      <c r="J23" s="295"/>
      <c r="K23" s="292"/>
    </row>
    <row r="24" spans="1:11" ht="14" thickTop="1" thickBot="1" x14ac:dyDescent="0.3">
      <c r="A24" s="323"/>
      <c r="B24" s="324"/>
      <c r="C24" s="325"/>
      <c r="D24" s="304" t="s">
        <v>463</v>
      </c>
      <c r="E24" s="305"/>
      <c r="F24" s="306"/>
      <c r="G24" s="307"/>
      <c r="H24" s="308"/>
      <c r="I24" s="306"/>
      <c r="J24" s="323"/>
      <c r="K24" s="325"/>
    </row>
    <row r="25" spans="1:11" ht="13.5" thickTop="1" x14ac:dyDescent="0.3">
      <c r="A25" s="291"/>
      <c r="B25" s="2"/>
      <c r="C25" s="2"/>
      <c r="D25" s="258"/>
      <c r="E25" s="258"/>
      <c r="F25" s="2"/>
      <c r="G25" s="2"/>
      <c r="H25" s="2"/>
      <c r="I25" s="2"/>
      <c r="J25" s="2"/>
      <c r="K25" s="292"/>
    </row>
    <row r="26" spans="1:11" ht="15.5" x14ac:dyDescent="0.35">
      <c r="A26" s="326" t="s">
        <v>464</v>
      </c>
      <c r="B26" s="327"/>
      <c r="C26" s="295"/>
      <c r="D26" s="328" t="s">
        <v>465</v>
      </c>
      <c r="E26" s="328"/>
      <c r="F26" s="295"/>
      <c r="G26" s="295"/>
      <c r="H26" s="295"/>
      <c r="I26" s="295"/>
      <c r="J26" s="329" t="s">
        <v>466</v>
      </c>
      <c r="K26" s="292"/>
    </row>
    <row r="27" spans="1:11" ht="15.5" x14ac:dyDescent="0.35">
      <c r="A27" s="297" t="s">
        <v>467</v>
      </c>
      <c r="B27" s="295"/>
      <c r="C27" s="295"/>
      <c r="D27" s="295"/>
      <c r="E27" s="295"/>
      <c r="F27" s="315"/>
      <c r="G27" s="315"/>
      <c r="H27" s="315"/>
      <c r="I27" s="315"/>
      <c r="J27" s="330">
        <v>0</v>
      </c>
      <c r="K27" s="292"/>
    </row>
    <row r="28" spans="1:11" ht="15.5" x14ac:dyDescent="0.35">
      <c r="A28" s="297" t="s">
        <v>468</v>
      </c>
      <c r="B28" s="295"/>
      <c r="C28" s="295"/>
      <c r="D28" s="75">
        <f>IF(J9&gt;100000,100000,J9)</f>
        <v>0</v>
      </c>
      <c r="E28" s="75"/>
      <c r="F28" s="76" t="s">
        <v>469</v>
      </c>
      <c r="G28" s="74">
        <f>ROUND(CPI*H28,2)</f>
        <v>2.61</v>
      </c>
      <c r="H28" s="74">
        <v>1.82</v>
      </c>
      <c r="I28" s="331" t="s">
        <v>470</v>
      </c>
      <c r="J28" s="71">
        <f>IF(J9&gt;100000,180000,IF(J9&gt;1000,J9*G28,0))</f>
        <v>0</v>
      </c>
      <c r="K28" s="292"/>
    </row>
    <row r="29" spans="1:11" ht="16" thickBot="1" x14ac:dyDescent="0.4">
      <c r="A29" s="297" t="s">
        <v>471</v>
      </c>
      <c r="B29" s="295"/>
      <c r="C29" s="295"/>
      <c r="D29" s="70">
        <f>IF(J9&gt;100000,J9-100000,0)</f>
        <v>0</v>
      </c>
      <c r="E29" s="70"/>
      <c r="F29" s="76" t="s">
        <v>469</v>
      </c>
      <c r="G29" s="74">
        <f>ROUND(CPI*H29,2)</f>
        <v>1.3</v>
      </c>
      <c r="H29" s="74">
        <v>0.91</v>
      </c>
      <c r="I29" s="331" t="s">
        <v>470</v>
      </c>
      <c r="J29" s="71">
        <f>IF(J9&lt;100000,0,(J9-100000)*G29)</f>
        <v>0</v>
      </c>
      <c r="K29" s="292"/>
    </row>
    <row r="30" spans="1:11" ht="16" thickTop="1" x14ac:dyDescent="0.35">
      <c r="A30" s="297"/>
      <c r="B30" s="295"/>
      <c r="C30" s="295"/>
      <c r="D30" s="295"/>
      <c r="E30" s="295"/>
      <c r="F30" s="76"/>
      <c r="G30" s="76"/>
      <c r="H30" s="76"/>
      <c r="I30" s="76"/>
      <c r="J30" s="332"/>
      <c r="K30" s="292"/>
    </row>
    <row r="31" spans="1:11" ht="15.5" x14ac:dyDescent="0.35">
      <c r="A31" s="297"/>
      <c r="B31" s="295"/>
      <c r="C31" s="295"/>
      <c r="D31" s="295"/>
      <c r="E31" s="295"/>
      <c r="F31" s="76" t="s">
        <v>472</v>
      </c>
      <c r="G31" s="76"/>
      <c r="H31" s="76"/>
      <c r="I31" s="76"/>
      <c r="J31" s="71">
        <f>SUM(J28:J29)</f>
        <v>0</v>
      </c>
      <c r="K31" s="292"/>
    </row>
    <row r="32" spans="1:11" ht="15.5" x14ac:dyDescent="0.35">
      <c r="A32" s="297"/>
      <c r="B32" s="295"/>
      <c r="C32" s="295"/>
      <c r="D32" s="295"/>
      <c r="E32" s="295"/>
      <c r="F32" s="295"/>
      <c r="G32" s="295"/>
      <c r="H32" s="295"/>
      <c r="I32" s="295"/>
      <c r="J32" s="295"/>
      <c r="K32" s="292"/>
    </row>
    <row r="33" spans="1:11" ht="15.5" x14ac:dyDescent="0.35">
      <c r="A33" s="297" t="s">
        <v>473</v>
      </c>
      <c r="B33" s="295"/>
      <c r="C33" s="295"/>
      <c r="D33" s="295"/>
      <c r="E33" s="295"/>
      <c r="F33" s="76" t="s">
        <v>474</v>
      </c>
      <c r="G33" s="76"/>
      <c r="H33" s="76"/>
      <c r="I33" s="76"/>
      <c r="J33" s="28"/>
      <c r="K33" s="292"/>
    </row>
    <row r="34" spans="1:11" x14ac:dyDescent="0.25">
      <c r="A34" s="291"/>
      <c r="B34" s="2"/>
      <c r="C34" s="2"/>
      <c r="D34" s="2"/>
      <c r="E34" s="2"/>
      <c r="F34" s="2"/>
      <c r="G34" s="2"/>
      <c r="H34" s="2"/>
      <c r="I34" s="2"/>
      <c r="J34" s="2"/>
      <c r="K34" s="292"/>
    </row>
    <row r="35" spans="1:11" ht="13" x14ac:dyDescent="0.3">
      <c r="A35" s="291"/>
      <c r="B35" s="2"/>
      <c r="C35" s="333" t="s">
        <v>475</v>
      </c>
      <c r="D35" s="110"/>
      <c r="E35" s="110"/>
      <c r="F35" s="110"/>
      <c r="G35" s="110"/>
      <c r="H35" s="110"/>
      <c r="I35" s="110"/>
      <c r="J35" s="111"/>
      <c r="K35" s="292"/>
    </row>
    <row r="36" spans="1:11" ht="15.5" x14ac:dyDescent="0.35">
      <c r="A36" s="297"/>
      <c r="B36" s="295"/>
      <c r="C36" s="298"/>
      <c r="D36" s="334"/>
      <c r="E36" s="334"/>
      <c r="F36" s="331"/>
      <c r="G36" s="331"/>
      <c r="H36" s="331"/>
      <c r="I36" s="331"/>
      <c r="J36" s="295"/>
      <c r="K36" s="292"/>
    </row>
    <row r="37" spans="1:11" ht="15.5" x14ac:dyDescent="0.35">
      <c r="A37" s="297"/>
      <c r="B37" s="295"/>
      <c r="C37" s="295"/>
      <c r="D37" s="77">
        <f>J31</f>
        <v>0</v>
      </c>
      <c r="E37" s="77" t="s">
        <v>244</v>
      </c>
      <c r="F37" s="77">
        <f>IF(J9&lt;1000,0,J33)</f>
        <v>0</v>
      </c>
      <c r="G37" s="77"/>
      <c r="H37" s="77"/>
      <c r="I37" s="77"/>
      <c r="J37" s="335"/>
      <c r="K37" s="292"/>
    </row>
    <row r="38" spans="1:11" ht="15.5" x14ac:dyDescent="0.35">
      <c r="A38" s="297"/>
      <c r="B38" s="295"/>
      <c r="C38" s="295"/>
      <c r="D38" s="295"/>
      <c r="E38" s="295"/>
      <c r="F38" s="295"/>
      <c r="G38" s="295"/>
      <c r="H38" s="295"/>
      <c r="I38" s="295"/>
      <c r="J38" s="295"/>
      <c r="K38" s="292"/>
    </row>
    <row r="39" spans="1:11" ht="15.5" x14ac:dyDescent="0.35">
      <c r="A39" s="297" t="s">
        <v>476</v>
      </c>
      <c r="B39" s="295"/>
      <c r="C39" s="295"/>
      <c r="D39" s="71">
        <f>SUM(D37:F37)</f>
        <v>0</v>
      </c>
      <c r="E39" s="71"/>
      <c r="F39" s="76" t="s">
        <v>477</v>
      </c>
      <c r="G39" s="76"/>
      <c r="H39" s="76"/>
      <c r="I39" s="76"/>
      <c r="J39" s="78">
        <f>IF(D39&gt;1000000,ROUNDUP(D39,-4),IF(D39&gt;100000,ROUNDUP(D39,-3),IF(D39&gt;10000,ROUNDUP(D39,-3),IF(D39&gt;1000,ROUNDUP(D39,-2),ROUNDUP(D39,-2)))))</f>
        <v>0</v>
      </c>
      <c r="K39" s="292"/>
    </row>
    <row r="40" spans="1:11" ht="13" thickBot="1" x14ac:dyDescent="0.3">
      <c r="A40" s="301"/>
      <c r="B40" s="302"/>
      <c r="C40" s="302"/>
      <c r="D40" s="302"/>
      <c r="E40" s="302"/>
      <c r="F40" s="302"/>
      <c r="G40" s="302"/>
      <c r="H40" s="302"/>
      <c r="I40" s="302"/>
      <c r="J40" s="302"/>
      <c r="K40" s="303"/>
    </row>
    <row r="41" spans="1:11" ht="14" thickTop="1" thickBot="1" x14ac:dyDescent="0.3">
      <c r="A41" s="323"/>
      <c r="B41" s="324"/>
      <c r="C41" s="324"/>
      <c r="D41" s="304" t="s">
        <v>486</v>
      </c>
      <c r="E41" s="305"/>
      <c r="F41" s="306"/>
      <c r="G41" s="307"/>
      <c r="H41" s="308"/>
      <c r="I41" s="306"/>
      <c r="J41" s="324"/>
      <c r="K41" s="325"/>
    </row>
    <row r="42" spans="1:11" ht="16" thickTop="1" x14ac:dyDescent="0.35">
      <c r="A42" s="336" t="s">
        <v>478</v>
      </c>
      <c r="B42" s="337"/>
      <c r="C42" s="295"/>
      <c r="D42" s="337"/>
      <c r="E42" s="337" t="s">
        <v>479</v>
      </c>
      <c r="F42" s="146"/>
      <c r="G42" s="146"/>
      <c r="H42" s="146"/>
      <c r="I42" s="146"/>
      <c r="J42" s="146"/>
      <c r="K42" s="338"/>
    </row>
    <row r="43" spans="1:11" ht="15.5" x14ac:dyDescent="0.35">
      <c r="A43" s="297" t="s">
        <v>480</v>
      </c>
      <c r="B43" s="295"/>
      <c r="C43" s="339"/>
      <c r="D43" s="287">
        <v>10681</v>
      </c>
      <c r="E43" s="287"/>
      <c r="F43" s="340"/>
      <c r="G43" s="295"/>
      <c r="H43" s="295"/>
      <c r="I43" s="295"/>
      <c r="J43" s="295"/>
      <c r="K43" s="292"/>
    </row>
    <row r="44" spans="1:11" ht="15.5" x14ac:dyDescent="0.35">
      <c r="A44" s="297" t="s">
        <v>481</v>
      </c>
      <c r="B44" s="295"/>
      <c r="C44" s="295"/>
      <c r="D44" s="287">
        <v>10681</v>
      </c>
      <c r="E44" s="287" t="s">
        <v>244</v>
      </c>
      <c r="F44" s="288">
        <v>0.20979999999999999</v>
      </c>
      <c r="G44" s="295" t="s">
        <v>207</v>
      </c>
      <c r="H44" s="295"/>
      <c r="I44" s="295"/>
      <c r="J44" s="341">
        <v>10000</v>
      </c>
      <c r="K44" s="292" t="s">
        <v>482</v>
      </c>
    </row>
    <row r="45" spans="1:11" ht="15.5" x14ac:dyDescent="0.35">
      <c r="A45" s="297" t="s">
        <v>483</v>
      </c>
      <c r="B45" s="295"/>
      <c r="C45" s="295"/>
      <c r="D45" s="287">
        <v>29563</v>
      </c>
      <c r="E45" s="295" t="s">
        <v>244</v>
      </c>
      <c r="F45" s="289">
        <v>5.9499999999999997E-2</v>
      </c>
      <c r="G45" s="295" t="s">
        <v>207</v>
      </c>
      <c r="H45" s="295"/>
      <c r="I45" s="295"/>
      <c r="J45" s="341">
        <v>100000</v>
      </c>
      <c r="K45" s="292" t="s">
        <v>482</v>
      </c>
    </row>
    <row r="46" spans="1:11" ht="15.5" x14ac:dyDescent="0.35">
      <c r="A46" s="297" t="s">
        <v>484</v>
      </c>
      <c r="B46" s="295"/>
      <c r="C46" s="295"/>
      <c r="D46" s="287">
        <v>53363</v>
      </c>
      <c r="E46" s="295" t="s">
        <v>244</v>
      </c>
      <c r="F46" s="289">
        <v>4.3999999999999997E-2</v>
      </c>
      <c r="G46" s="295" t="s">
        <v>207</v>
      </c>
      <c r="H46" s="295"/>
      <c r="I46" s="295"/>
      <c r="J46" s="341">
        <v>500000</v>
      </c>
      <c r="K46" s="292" t="s">
        <v>482</v>
      </c>
    </row>
    <row r="47" spans="1:11" ht="15.5" x14ac:dyDescent="0.35">
      <c r="A47" s="297" t="s">
        <v>485</v>
      </c>
      <c r="B47" s="295"/>
      <c r="C47" s="295"/>
      <c r="D47" s="287">
        <v>75363</v>
      </c>
      <c r="E47" s="295" t="s">
        <v>244</v>
      </c>
      <c r="F47" s="289">
        <v>1.8700000000000001E-2</v>
      </c>
      <c r="G47" s="295" t="s">
        <v>207</v>
      </c>
      <c r="H47" s="295"/>
      <c r="I47" s="295"/>
      <c r="J47" s="341">
        <v>1000000</v>
      </c>
      <c r="K47" s="292" t="s">
        <v>482</v>
      </c>
    </row>
    <row r="48" spans="1:11" ht="16" thickBot="1" x14ac:dyDescent="0.4">
      <c r="A48" s="342"/>
      <c r="B48" s="343"/>
      <c r="C48" s="343"/>
      <c r="D48" s="343"/>
      <c r="E48" s="343"/>
      <c r="F48" s="302"/>
      <c r="G48" s="302"/>
      <c r="H48" s="302"/>
      <c r="I48" s="302"/>
      <c r="J48" s="302"/>
      <c r="K48" s="303"/>
    </row>
    <row r="49" spans="1:10" s="2" customFormat="1" ht="13" thickTop="1" x14ac:dyDescent="0.25">
      <c r="A49" s="2" t="s">
        <v>488</v>
      </c>
    </row>
    <row r="50" spans="1:10" s="2" customFormat="1" x14ac:dyDescent="0.25">
      <c r="A50" s="2" t="s">
        <v>489</v>
      </c>
    </row>
    <row r="51" spans="1:10" s="2" customFormat="1" ht="13" thickBot="1" x14ac:dyDescent="0.3">
      <c r="A51" s="79" t="s">
        <v>574</v>
      </c>
    </row>
    <row r="52" spans="1:10" ht="13" thickBot="1" x14ac:dyDescent="0.3">
      <c r="A52" s="79" t="s">
        <v>562</v>
      </c>
      <c r="B52" s="79"/>
      <c r="C52" s="79"/>
      <c r="D52" s="79"/>
      <c r="E52" s="79"/>
      <c r="F52" s="79"/>
      <c r="G52" s="79"/>
      <c r="I52" s="97">
        <v>507</v>
      </c>
      <c r="J52" s="7"/>
    </row>
    <row r="53" spans="1:10" ht="13" thickBot="1" x14ac:dyDescent="0.3">
      <c r="A53" s="516" t="s">
        <v>575</v>
      </c>
      <c r="B53" s="516"/>
      <c r="C53" s="516"/>
      <c r="D53" s="516"/>
      <c r="E53" s="516"/>
      <c r="F53" s="516"/>
      <c r="G53" s="516"/>
      <c r="H53" s="344"/>
      <c r="I53" s="97">
        <v>551</v>
      </c>
      <c r="J53" s="29"/>
    </row>
    <row r="54" spans="1:10" ht="29.25" customHeight="1" thickBot="1" x14ac:dyDescent="0.3">
      <c r="A54" s="516" t="s">
        <v>576</v>
      </c>
      <c r="B54" s="517"/>
      <c r="C54" s="517"/>
      <c r="D54" s="517"/>
      <c r="E54" s="517"/>
      <c r="F54" s="517"/>
      <c r="I54" s="98">
        <v>844</v>
      </c>
      <c r="J54" s="29"/>
    </row>
  </sheetData>
  <sheetProtection algorithmName="SHA-512" hashValue="ekvj+rrlMyigedyL9abWT1jhiz5r3EzmOaQnDObGdhhadotQ4Lh7Z+2GIXpEo9+lQGlb5FYln1VA+1cqKSm7cw==" saltValue="N6YmgSPo3nhbN/zCMpoYkg==" spinCount="100000" sheet="1" insertRows="0" selectLockedCells="1"/>
  <mergeCells count="3">
    <mergeCell ref="A1:K1"/>
    <mergeCell ref="A53:G53"/>
    <mergeCell ref="A54:F54"/>
  </mergeCells>
  <dataValidations count="1">
    <dataValidation type="list" allowBlank="1" showInputMessage="1" showErrorMessage="1" sqref="J52:J54" xr:uid="{00000000-0002-0000-0300-000000000000}">
      <formula1>"Yes,No"</formula1>
    </dataValidation>
  </dataValidations>
  <printOptions horizontalCentered="1"/>
  <pageMargins left="0.25" right="0.25" top="0.25" bottom="0.25" header="0.3" footer="0.3"/>
  <pageSetup scale="85" orientation="portrait" r:id="rId1"/>
  <headerFooter>
    <oddFooter>&amp;LFees Effective 07/01/2025&amp;R&amp;P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73"/>
  <sheetViews>
    <sheetView zoomScaleNormal="100" zoomScaleSheetLayoutView="130" workbookViewId="0">
      <selection activeCell="B15" sqref="B15"/>
    </sheetView>
  </sheetViews>
  <sheetFormatPr defaultColWidth="9.08984375" defaultRowHeight="12.5" x14ac:dyDescent="0.25"/>
  <cols>
    <col min="1" max="1" width="48" customWidth="1"/>
    <col min="2" max="2" width="13.36328125" style="172" bestFit="1" customWidth="1"/>
    <col min="3" max="3" width="12.54296875" style="174" customWidth="1"/>
    <col min="4" max="4" width="12.54296875" style="174" hidden="1" customWidth="1"/>
    <col min="5" max="5" width="7.453125" style="174" customWidth="1"/>
    <col min="6" max="6" width="15.08984375" customWidth="1"/>
    <col min="7" max="7" width="14.08984375" customWidth="1"/>
  </cols>
  <sheetData>
    <row r="1" spans="1:8" ht="13" x14ac:dyDescent="0.3">
      <c r="A1" s="2"/>
      <c r="B1" s="99"/>
      <c r="C1" s="100"/>
      <c r="D1" s="100"/>
      <c r="E1" s="100"/>
      <c r="F1" s="2"/>
      <c r="G1" s="2"/>
      <c r="H1" s="2"/>
    </row>
    <row r="2" spans="1:8" ht="13" x14ac:dyDescent="0.3">
      <c r="A2" s="2"/>
      <c r="B2" s="99"/>
      <c r="C2" s="100"/>
      <c r="D2" s="100"/>
      <c r="E2" s="100"/>
      <c r="F2" s="2"/>
      <c r="G2" s="2"/>
      <c r="H2" s="2"/>
    </row>
    <row r="3" spans="1:8" x14ac:dyDescent="0.25">
      <c r="A3" s="2"/>
      <c r="B3" s="101"/>
      <c r="C3" s="100"/>
      <c r="D3" s="100"/>
      <c r="E3" s="100"/>
      <c r="F3" s="2"/>
      <c r="G3" s="2"/>
      <c r="H3" s="2"/>
    </row>
    <row r="4" spans="1:8" x14ac:dyDescent="0.25">
      <c r="A4" s="2"/>
      <c r="B4" s="101"/>
      <c r="C4" s="100"/>
      <c r="D4" s="100"/>
      <c r="E4" s="100"/>
      <c r="F4" s="2"/>
      <c r="G4" s="2"/>
      <c r="H4" s="2"/>
    </row>
    <row r="5" spans="1:8" x14ac:dyDescent="0.25">
      <c r="A5" s="2"/>
      <c r="B5" s="101"/>
      <c r="C5" s="100"/>
      <c r="D5" s="100"/>
      <c r="E5" s="100"/>
      <c r="F5" s="2"/>
      <c r="G5" s="2"/>
      <c r="H5" s="2"/>
    </row>
    <row r="6" spans="1:8" x14ac:dyDescent="0.25">
      <c r="A6" s="2"/>
      <c r="B6" s="101"/>
      <c r="C6" s="100"/>
      <c r="D6" s="100"/>
      <c r="E6" s="100"/>
      <c r="F6" s="2"/>
      <c r="G6" s="2"/>
      <c r="H6" s="2"/>
    </row>
    <row r="7" spans="1:8" x14ac:dyDescent="0.25">
      <c r="A7" s="2"/>
      <c r="B7" s="101"/>
      <c r="C7" s="100"/>
      <c r="D7" s="100"/>
      <c r="E7" s="100"/>
      <c r="F7" s="2"/>
      <c r="G7" s="2"/>
      <c r="H7" s="2"/>
    </row>
    <row r="8" spans="1:8" x14ac:dyDescent="0.25">
      <c r="A8" s="2"/>
      <c r="B8" s="101"/>
      <c r="C8" s="100"/>
      <c r="D8" s="100"/>
      <c r="E8" s="100"/>
      <c r="F8" s="2"/>
      <c r="G8" s="2"/>
      <c r="H8" s="2"/>
    </row>
    <row r="9" spans="1:8" x14ac:dyDescent="0.25">
      <c r="A9" s="2"/>
      <c r="B9" s="101"/>
      <c r="C9" s="100"/>
      <c r="D9" s="100"/>
      <c r="E9" s="100"/>
      <c r="F9" s="2"/>
      <c r="G9" s="2"/>
      <c r="H9" s="2"/>
    </row>
    <row r="10" spans="1:8" x14ac:dyDescent="0.25">
      <c r="A10" s="2"/>
      <c r="B10" s="101"/>
      <c r="C10" s="100"/>
      <c r="D10" s="100"/>
      <c r="E10" s="100"/>
      <c r="F10" s="2"/>
      <c r="G10" s="2"/>
      <c r="H10" s="2"/>
    </row>
    <row r="11" spans="1:8" ht="13" thickBot="1" x14ac:dyDescent="0.3">
      <c r="A11" s="2"/>
      <c r="B11" s="101"/>
      <c r="C11" s="100"/>
      <c r="D11" s="100"/>
      <c r="E11" s="100"/>
      <c r="F11" s="2"/>
      <c r="G11" s="2"/>
      <c r="H11" s="2"/>
    </row>
    <row r="12" spans="1:8" ht="13.5" thickBot="1" x14ac:dyDescent="0.35">
      <c r="A12" s="102" t="s">
        <v>0</v>
      </c>
      <c r="B12" s="103" t="s">
        <v>1</v>
      </c>
      <c r="C12" s="518" t="s">
        <v>2</v>
      </c>
      <c r="D12" s="519"/>
      <c r="E12" s="519"/>
      <c r="F12" s="520"/>
      <c r="G12" s="102" t="s">
        <v>3</v>
      </c>
      <c r="H12" s="2"/>
    </row>
    <row r="13" spans="1:8" x14ac:dyDescent="0.25">
      <c r="A13" s="104"/>
      <c r="B13" s="105"/>
      <c r="C13" s="485"/>
      <c r="D13" s="486"/>
      <c r="E13" s="487"/>
      <c r="F13" s="80"/>
      <c r="G13" s="106"/>
      <c r="H13" s="2"/>
    </row>
    <row r="14" spans="1:8" x14ac:dyDescent="0.25">
      <c r="A14" s="107" t="s">
        <v>150</v>
      </c>
      <c r="B14" s="108"/>
      <c r="C14" s="109"/>
      <c r="D14" s="119"/>
      <c r="E14" s="110"/>
      <c r="F14" s="111"/>
      <c r="G14" s="51"/>
      <c r="H14" s="2"/>
    </row>
    <row r="15" spans="1:8" x14ac:dyDescent="0.25">
      <c r="A15" s="107" t="s">
        <v>151</v>
      </c>
      <c r="B15" s="3"/>
      <c r="C15" s="45">
        <f t="shared" ref="C15:C27" si="0">ROUND(D15*$B$171,2)</f>
        <v>116.02</v>
      </c>
      <c r="D15" s="43">
        <v>90</v>
      </c>
      <c r="E15" s="110" t="s">
        <v>58</v>
      </c>
      <c r="F15" s="112"/>
      <c r="G15" s="51">
        <f>B15*C15</f>
        <v>0</v>
      </c>
      <c r="H15" s="2"/>
    </row>
    <row r="16" spans="1:8" x14ac:dyDescent="0.25">
      <c r="A16" s="107" t="s">
        <v>152</v>
      </c>
      <c r="B16" s="3"/>
      <c r="C16" s="45">
        <f t="shared" si="0"/>
        <v>127.62</v>
      </c>
      <c r="D16" s="43">
        <v>99</v>
      </c>
      <c r="E16" s="110" t="s">
        <v>58</v>
      </c>
      <c r="F16" s="112"/>
      <c r="G16" s="51">
        <f t="shared" ref="G16:G46" si="1">B16*C16</f>
        <v>0</v>
      </c>
      <c r="H16" s="2"/>
    </row>
    <row r="17" spans="1:8" x14ac:dyDescent="0.25">
      <c r="A17" s="107" t="s">
        <v>153</v>
      </c>
      <c r="B17" s="3"/>
      <c r="C17" s="45">
        <f t="shared" si="0"/>
        <v>172.73</v>
      </c>
      <c r="D17" s="43">
        <v>134</v>
      </c>
      <c r="E17" s="110" t="s">
        <v>58</v>
      </c>
      <c r="F17" s="112"/>
      <c r="G17" s="51">
        <f t="shared" si="1"/>
        <v>0</v>
      </c>
      <c r="H17" s="2"/>
    </row>
    <row r="18" spans="1:8" x14ac:dyDescent="0.25">
      <c r="A18" s="107" t="s">
        <v>154</v>
      </c>
      <c r="B18" s="3"/>
      <c r="C18" s="45">
        <f t="shared" si="0"/>
        <v>192.07</v>
      </c>
      <c r="D18" s="43">
        <v>149</v>
      </c>
      <c r="E18" s="110" t="s">
        <v>58</v>
      </c>
      <c r="F18" s="112"/>
      <c r="G18" s="51">
        <f t="shared" si="1"/>
        <v>0</v>
      </c>
      <c r="H18" s="2"/>
    </row>
    <row r="19" spans="1:8" x14ac:dyDescent="0.25">
      <c r="A19" s="107" t="s">
        <v>155</v>
      </c>
      <c r="B19" s="3"/>
      <c r="C19" s="45">
        <f t="shared" si="0"/>
        <v>211.41</v>
      </c>
      <c r="D19" s="43">
        <v>164</v>
      </c>
      <c r="E19" s="110" t="s">
        <v>58</v>
      </c>
      <c r="F19" s="112"/>
      <c r="G19" s="51">
        <f t="shared" si="1"/>
        <v>0</v>
      </c>
      <c r="H19" s="2"/>
    </row>
    <row r="20" spans="1:8" x14ac:dyDescent="0.25">
      <c r="A20" s="107" t="s">
        <v>156</v>
      </c>
      <c r="B20" s="3"/>
      <c r="C20" s="45">
        <f t="shared" si="0"/>
        <v>269.41000000000003</v>
      </c>
      <c r="D20" s="43">
        <v>209</v>
      </c>
      <c r="E20" s="110" t="s">
        <v>58</v>
      </c>
      <c r="F20" s="112"/>
      <c r="G20" s="51">
        <f t="shared" si="1"/>
        <v>0</v>
      </c>
      <c r="H20" s="2"/>
    </row>
    <row r="21" spans="1:8" x14ac:dyDescent="0.25">
      <c r="A21" s="107" t="s">
        <v>157</v>
      </c>
      <c r="B21" s="3"/>
      <c r="C21" s="45">
        <f t="shared" si="0"/>
        <v>355.78</v>
      </c>
      <c r="D21" s="43">
        <v>276</v>
      </c>
      <c r="E21" s="110" t="s">
        <v>58</v>
      </c>
      <c r="F21" s="112"/>
      <c r="G21" s="51">
        <f t="shared" si="1"/>
        <v>0</v>
      </c>
      <c r="H21" s="2"/>
    </row>
    <row r="22" spans="1:8" x14ac:dyDescent="0.25">
      <c r="A22" s="107" t="s">
        <v>158</v>
      </c>
      <c r="B22" s="3"/>
      <c r="C22" s="45">
        <f t="shared" si="0"/>
        <v>488.56</v>
      </c>
      <c r="D22" s="43">
        <v>379</v>
      </c>
      <c r="E22" s="110" t="s">
        <v>58</v>
      </c>
      <c r="F22" s="112"/>
      <c r="G22" s="51">
        <f t="shared" si="1"/>
        <v>0</v>
      </c>
      <c r="H22" s="2"/>
    </row>
    <row r="23" spans="1:8" x14ac:dyDescent="0.25">
      <c r="A23" s="421" t="s">
        <v>536</v>
      </c>
      <c r="B23" s="422"/>
      <c r="C23" s="45">
        <f t="shared" si="0"/>
        <v>629.05999999999995</v>
      </c>
      <c r="D23" s="43">
        <v>488</v>
      </c>
      <c r="E23" s="382" t="s">
        <v>58</v>
      </c>
      <c r="F23" s="423"/>
      <c r="G23" s="424">
        <f t="shared" si="1"/>
        <v>0</v>
      </c>
      <c r="H23" s="79"/>
    </row>
    <row r="24" spans="1:8" x14ac:dyDescent="0.25">
      <c r="A24" s="421" t="s">
        <v>537</v>
      </c>
      <c r="B24" s="422"/>
      <c r="C24" s="45">
        <f t="shared" si="0"/>
        <v>768.28</v>
      </c>
      <c r="D24" s="43">
        <v>596</v>
      </c>
      <c r="E24" s="382" t="s">
        <v>58</v>
      </c>
      <c r="F24" s="423"/>
      <c r="G24" s="424">
        <f t="shared" si="1"/>
        <v>0</v>
      </c>
      <c r="H24" s="79"/>
    </row>
    <row r="25" spans="1:8" x14ac:dyDescent="0.25">
      <c r="A25" s="421" t="s">
        <v>538</v>
      </c>
      <c r="B25" s="422"/>
      <c r="C25" s="45">
        <f t="shared" si="0"/>
        <v>855.94</v>
      </c>
      <c r="D25" s="43">
        <v>664</v>
      </c>
      <c r="E25" s="382" t="s">
        <v>58</v>
      </c>
      <c r="F25" s="423"/>
      <c r="G25" s="424">
        <f t="shared" si="1"/>
        <v>0</v>
      </c>
      <c r="H25" s="79"/>
    </row>
    <row r="26" spans="1:8" x14ac:dyDescent="0.25">
      <c r="A26" s="421" t="s">
        <v>539</v>
      </c>
      <c r="B26" s="422"/>
      <c r="C26" s="45">
        <f t="shared" si="0"/>
        <v>1179.49</v>
      </c>
      <c r="D26" s="43">
        <v>915</v>
      </c>
      <c r="E26" s="382" t="s">
        <v>58</v>
      </c>
      <c r="F26" s="423"/>
      <c r="G26" s="424">
        <f t="shared" si="1"/>
        <v>0</v>
      </c>
      <c r="H26" s="79"/>
    </row>
    <row r="27" spans="1:8" x14ac:dyDescent="0.25">
      <c r="A27" s="421" t="s">
        <v>540</v>
      </c>
      <c r="B27" s="422"/>
      <c r="C27" s="45">
        <f t="shared" si="0"/>
        <v>1585.55</v>
      </c>
      <c r="D27" s="43">
        <v>1230</v>
      </c>
      <c r="E27" s="382" t="s">
        <v>58</v>
      </c>
      <c r="F27" s="423"/>
      <c r="G27" s="424">
        <f t="shared" si="1"/>
        <v>0</v>
      </c>
      <c r="H27" s="79"/>
    </row>
    <row r="28" spans="1:8" x14ac:dyDescent="0.25">
      <c r="A28" s="548" t="s">
        <v>491</v>
      </c>
      <c r="B28" s="3"/>
      <c r="C28" s="45">
        <v>0</v>
      </c>
      <c r="D28" s="43"/>
      <c r="E28" s="110" t="s">
        <v>58</v>
      </c>
      <c r="F28" s="112"/>
      <c r="G28" s="51">
        <f>B28*C28</f>
        <v>0</v>
      </c>
      <c r="H28" s="2"/>
    </row>
    <row r="29" spans="1:8" x14ac:dyDescent="0.25">
      <c r="A29" s="107"/>
      <c r="B29" s="48"/>
      <c r="C29" s="45"/>
      <c r="D29" s="43"/>
      <c r="E29" s="110"/>
      <c r="F29" s="112"/>
      <c r="G29" s="51"/>
      <c r="H29" s="2"/>
    </row>
    <row r="30" spans="1:8" x14ac:dyDescent="0.25">
      <c r="A30" s="421" t="s">
        <v>541</v>
      </c>
      <c r="B30" s="425"/>
      <c r="C30" s="45"/>
      <c r="D30" s="200"/>
      <c r="E30" s="382"/>
      <c r="F30" s="426"/>
      <c r="G30" s="424"/>
      <c r="H30" s="79"/>
    </row>
    <row r="31" spans="1:8" x14ac:dyDescent="0.25">
      <c r="A31" s="421" t="s">
        <v>151</v>
      </c>
      <c r="B31" s="422"/>
      <c r="C31" s="45">
        <f t="shared" ref="C31:C44" si="2">ROUND(D31*$B$171,2)</f>
        <v>121.17</v>
      </c>
      <c r="D31" s="43">
        <v>94</v>
      </c>
      <c r="E31" s="382" t="s">
        <v>58</v>
      </c>
      <c r="F31" s="423"/>
      <c r="G31" s="424">
        <f t="shared" ref="G31:G38" si="3">B31*C31</f>
        <v>0</v>
      </c>
      <c r="H31" s="79"/>
    </row>
    <row r="32" spans="1:8" x14ac:dyDescent="0.25">
      <c r="A32" s="421" t="s">
        <v>152</v>
      </c>
      <c r="B32" s="422"/>
      <c r="C32" s="45">
        <f t="shared" si="2"/>
        <v>132.77000000000001</v>
      </c>
      <c r="D32" s="43">
        <v>103</v>
      </c>
      <c r="E32" s="382" t="s">
        <v>58</v>
      </c>
      <c r="F32" s="423"/>
      <c r="G32" s="424">
        <f t="shared" si="3"/>
        <v>0</v>
      </c>
      <c r="H32" s="79"/>
    </row>
    <row r="33" spans="1:8" x14ac:dyDescent="0.25">
      <c r="A33" s="421" t="s">
        <v>153</v>
      </c>
      <c r="B33" s="422"/>
      <c r="C33" s="45">
        <f t="shared" si="2"/>
        <v>180.47</v>
      </c>
      <c r="D33" s="43">
        <v>140</v>
      </c>
      <c r="E33" s="382" t="s">
        <v>58</v>
      </c>
      <c r="F33" s="423"/>
      <c r="G33" s="424">
        <f t="shared" si="3"/>
        <v>0</v>
      </c>
      <c r="H33" s="79"/>
    </row>
    <row r="34" spans="1:8" x14ac:dyDescent="0.25">
      <c r="A34" s="421" t="s">
        <v>154</v>
      </c>
      <c r="B34" s="422"/>
      <c r="C34" s="45">
        <f t="shared" si="2"/>
        <v>199.8</v>
      </c>
      <c r="D34" s="43">
        <v>155</v>
      </c>
      <c r="E34" s="382" t="s">
        <v>58</v>
      </c>
      <c r="F34" s="423"/>
      <c r="G34" s="424">
        <f t="shared" si="3"/>
        <v>0</v>
      </c>
      <c r="H34" s="79"/>
    </row>
    <row r="35" spans="1:8" x14ac:dyDescent="0.25">
      <c r="A35" s="421" t="s">
        <v>155</v>
      </c>
      <c r="B35" s="422"/>
      <c r="C35" s="45">
        <f t="shared" si="2"/>
        <v>220.43</v>
      </c>
      <c r="D35" s="43">
        <v>171</v>
      </c>
      <c r="E35" s="382" t="s">
        <v>58</v>
      </c>
      <c r="F35" s="423"/>
      <c r="G35" s="424">
        <f t="shared" si="3"/>
        <v>0</v>
      </c>
      <c r="H35" s="79"/>
    </row>
    <row r="36" spans="1:8" x14ac:dyDescent="0.25">
      <c r="A36" s="421" t="s">
        <v>156</v>
      </c>
      <c r="B36" s="422"/>
      <c r="C36" s="45">
        <f t="shared" si="2"/>
        <v>281.02</v>
      </c>
      <c r="D36" s="43">
        <v>218</v>
      </c>
      <c r="E36" s="382" t="s">
        <v>58</v>
      </c>
      <c r="F36" s="423"/>
      <c r="G36" s="424">
        <f t="shared" si="3"/>
        <v>0</v>
      </c>
      <c r="H36" s="79"/>
    </row>
    <row r="37" spans="1:8" x14ac:dyDescent="0.25">
      <c r="A37" s="421" t="s">
        <v>157</v>
      </c>
      <c r="B37" s="422"/>
      <c r="C37" s="45">
        <f t="shared" si="2"/>
        <v>373.83</v>
      </c>
      <c r="D37" s="43">
        <v>290</v>
      </c>
      <c r="E37" s="382" t="s">
        <v>58</v>
      </c>
      <c r="F37" s="423"/>
      <c r="G37" s="424">
        <f t="shared" si="3"/>
        <v>0</v>
      </c>
      <c r="H37" s="79"/>
    </row>
    <row r="38" spans="1:8" x14ac:dyDescent="0.25">
      <c r="A38" s="421" t="s">
        <v>158</v>
      </c>
      <c r="B38" s="422"/>
      <c r="C38" s="45">
        <f t="shared" si="2"/>
        <v>509.18</v>
      </c>
      <c r="D38" s="43">
        <v>395</v>
      </c>
      <c r="E38" s="382" t="s">
        <v>58</v>
      </c>
      <c r="F38" s="423"/>
      <c r="G38" s="424">
        <f t="shared" si="3"/>
        <v>0</v>
      </c>
      <c r="H38" s="79"/>
    </row>
    <row r="39" spans="1:8" x14ac:dyDescent="0.25">
      <c r="A39" s="421" t="s">
        <v>536</v>
      </c>
      <c r="B39" s="422"/>
      <c r="C39" s="45">
        <f t="shared" si="2"/>
        <v>654.84</v>
      </c>
      <c r="D39" s="43">
        <v>508</v>
      </c>
      <c r="E39" s="382" t="s">
        <v>58</v>
      </c>
      <c r="F39" s="423"/>
      <c r="G39" s="424">
        <f t="shared" ref="G39:G43" si="4">B39*C39</f>
        <v>0</v>
      </c>
      <c r="H39" s="79"/>
    </row>
    <row r="40" spans="1:8" x14ac:dyDescent="0.25">
      <c r="A40" s="421" t="s">
        <v>537</v>
      </c>
      <c r="B40" s="422"/>
      <c r="C40" s="45">
        <f t="shared" si="2"/>
        <v>728.32</v>
      </c>
      <c r="D40" s="43">
        <v>565</v>
      </c>
      <c r="E40" s="382" t="s">
        <v>58</v>
      </c>
      <c r="F40" s="423"/>
      <c r="G40" s="424">
        <f t="shared" si="4"/>
        <v>0</v>
      </c>
      <c r="H40" s="79"/>
    </row>
    <row r="41" spans="1:8" x14ac:dyDescent="0.25">
      <c r="A41" s="421" t="s">
        <v>538</v>
      </c>
      <c r="B41" s="422"/>
      <c r="C41" s="45">
        <f t="shared" si="2"/>
        <v>800.51</v>
      </c>
      <c r="D41" s="43">
        <v>621</v>
      </c>
      <c r="E41" s="382" t="s">
        <v>58</v>
      </c>
      <c r="F41" s="423"/>
      <c r="G41" s="424">
        <f t="shared" si="4"/>
        <v>0</v>
      </c>
      <c r="H41" s="79"/>
    </row>
    <row r="42" spans="1:8" x14ac:dyDescent="0.25">
      <c r="A42" s="421" t="s">
        <v>539</v>
      </c>
      <c r="B42" s="422"/>
      <c r="C42" s="45">
        <f t="shared" si="2"/>
        <v>892.03</v>
      </c>
      <c r="D42" s="43">
        <v>692</v>
      </c>
      <c r="E42" s="382" t="s">
        <v>58</v>
      </c>
      <c r="F42" s="423"/>
      <c r="G42" s="424">
        <f t="shared" si="4"/>
        <v>0</v>
      </c>
      <c r="H42" s="79"/>
    </row>
    <row r="43" spans="1:8" x14ac:dyDescent="0.25">
      <c r="A43" s="421" t="s">
        <v>540</v>
      </c>
      <c r="B43" s="422"/>
      <c r="C43" s="45">
        <f t="shared" si="2"/>
        <v>1228.48</v>
      </c>
      <c r="D43" s="43">
        <v>953</v>
      </c>
      <c r="E43" s="382" t="s">
        <v>58</v>
      </c>
      <c r="F43" s="423"/>
      <c r="G43" s="424">
        <f t="shared" si="4"/>
        <v>0</v>
      </c>
      <c r="H43" s="79"/>
    </row>
    <row r="44" spans="1:8" x14ac:dyDescent="0.25">
      <c r="A44" s="548" t="s">
        <v>491</v>
      </c>
      <c r="B44" s="422"/>
      <c r="C44" s="45">
        <f t="shared" si="2"/>
        <v>1651.29</v>
      </c>
      <c r="D44" s="43">
        <v>1281</v>
      </c>
      <c r="E44" s="382" t="s">
        <v>58</v>
      </c>
      <c r="F44" s="423"/>
      <c r="G44" s="424">
        <f>B44*C44</f>
        <v>0</v>
      </c>
      <c r="H44" s="79"/>
    </row>
    <row r="45" spans="1:8" x14ac:dyDescent="0.25">
      <c r="A45" s="421"/>
      <c r="B45" s="427"/>
      <c r="C45" s="45"/>
      <c r="D45" s="43"/>
      <c r="E45" s="382"/>
      <c r="F45" s="423"/>
      <c r="G45" s="424"/>
      <c r="H45" s="79"/>
    </row>
    <row r="46" spans="1:8" x14ac:dyDescent="0.25">
      <c r="A46" s="107" t="s">
        <v>159</v>
      </c>
      <c r="B46" s="3"/>
      <c r="C46" s="45">
        <v>0</v>
      </c>
      <c r="D46" s="43"/>
      <c r="E46" s="110" t="s">
        <v>58</v>
      </c>
      <c r="F46" s="112"/>
      <c r="G46" s="51">
        <f t="shared" si="1"/>
        <v>0</v>
      </c>
      <c r="H46" s="2"/>
    </row>
    <row r="47" spans="1:8" x14ac:dyDescent="0.25">
      <c r="A47" s="22" t="s">
        <v>491</v>
      </c>
      <c r="B47" s="3"/>
      <c r="C47" s="45">
        <v>0</v>
      </c>
      <c r="D47" s="43"/>
      <c r="E47" s="110" t="s">
        <v>58</v>
      </c>
      <c r="F47" s="112"/>
      <c r="G47" s="51">
        <f>B47*C47</f>
        <v>0</v>
      </c>
      <c r="H47" s="2"/>
    </row>
    <row r="48" spans="1:8" x14ac:dyDescent="0.25">
      <c r="A48" s="107"/>
      <c r="B48" s="48"/>
      <c r="C48" s="45"/>
      <c r="D48" s="43"/>
      <c r="E48" s="110"/>
      <c r="F48" s="112"/>
      <c r="G48" s="51"/>
      <c r="H48" s="2"/>
    </row>
    <row r="49" spans="1:8" x14ac:dyDescent="0.25">
      <c r="A49" s="107" t="s">
        <v>59</v>
      </c>
      <c r="B49" s="48"/>
      <c r="C49" s="45"/>
      <c r="D49" s="43"/>
      <c r="E49" s="110"/>
      <c r="F49" s="112"/>
      <c r="G49" s="51"/>
      <c r="H49" s="2"/>
    </row>
    <row r="50" spans="1:8" x14ac:dyDescent="0.25">
      <c r="A50" s="428" t="s">
        <v>542</v>
      </c>
      <c r="B50" s="422"/>
      <c r="C50" s="45">
        <f t="shared" ref="C50:C55" si="5">ROUND(D50*$B$171,2)</f>
        <v>7476.57</v>
      </c>
      <c r="D50" s="43">
        <v>5800</v>
      </c>
      <c r="E50" s="382" t="s">
        <v>57</v>
      </c>
      <c r="F50" s="423"/>
      <c r="G50" s="424">
        <f>B50*C50</f>
        <v>0</v>
      </c>
      <c r="H50" s="79"/>
    </row>
    <row r="51" spans="1:8" x14ac:dyDescent="0.25">
      <c r="A51" s="428" t="s">
        <v>543</v>
      </c>
      <c r="B51" s="422"/>
      <c r="C51" s="45">
        <f t="shared" si="5"/>
        <v>8378.92</v>
      </c>
      <c r="D51" s="43">
        <v>6500</v>
      </c>
      <c r="E51" s="382" t="s">
        <v>57</v>
      </c>
      <c r="F51" s="423"/>
      <c r="G51" s="424">
        <f t="shared" ref="G51:G55" si="6">B51*C51</f>
        <v>0</v>
      </c>
      <c r="H51" s="79"/>
    </row>
    <row r="52" spans="1:8" x14ac:dyDescent="0.25">
      <c r="A52" s="428" t="s">
        <v>544</v>
      </c>
      <c r="B52" s="422"/>
      <c r="C52" s="45">
        <f t="shared" si="5"/>
        <v>9087.9</v>
      </c>
      <c r="D52" s="43">
        <v>7050</v>
      </c>
      <c r="E52" s="382" t="s">
        <v>57</v>
      </c>
      <c r="F52" s="423"/>
      <c r="G52" s="424">
        <f t="shared" si="6"/>
        <v>0</v>
      </c>
      <c r="H52" s="79"/>
    </row>
    <row r="53" spans="1:8" x14ac:dyDescent="0.25">
      <c r="A53" s="428" t="s">
        <v>545</v>
      </c>
      <c r="B53" s="422"/>
      <c r="C53" s="45">
        <f t="shared" si="5"/>
        <v>14179.71</v>
      </c>
      <c r="D53" s="43">
        <v>11000</v>
      </c>
      <c r="E53" s="382" t="s">
        <v>57</v>
      </c>
      <c r="F53" s="423"/>
      <c r="G53" s="424">
        <f t="shared" si="6"/>
        <v>0</v>
      </c>
      <c r="H53" s="79"/>
    </row>
    <row r="54" spans="1:8" x14ac:dyDescent="0.25">
      <c r="A54" s="428" t="s">
        <v>546</v>
      </c>
      <c r="B54" s="422"/>
      <c r="C54" s="45">
        <f t="shared" si="5"/>
        <v>18046.900000000001</v>
      </c>
      <c r="D54" s="43">
        <v>14000</v>
      </c>
      <c r="E54" s="382" t="s">
        <v>57</v>
      </c>
      <c r="F54" s="423"/>
      <c r="G54" s="424">
        <f t="shared" si="6"/>
        <v>0</v>
      </c>
      <c r="H54" s="79"/>
    </row>
    <row r="55" spans="1:8" x14ac:dyDescent="0.25">
      <c r="A55" s="428" t="s">
        <v>547</v>
      </c>
      <c r="B55" s="422"/>
      <c r="C55" s="45">
        <f t="shared" si="5"/>
        <v>19335.96</v>
      </c>
      <c r="D55" s="43">
        <v>15000</v>
      </c>
      <c r="E55" s="382" t="s">
        <v>57</v>
      </c>
      <c r="F55" s="423"/>
      <c r="G55" s="424">
        <f t="shared" si="6"/>
        <v>0</v>
      </c>
      <c r="H55" s="79"/>
    </row>
    <row r="56" spans="1:8" x14ac:dyDescent="0.25">
      <c r="A56" s="114" t="s">
        <v>160</v>
      </c>
      <c r="B56" s="3"/>
      <c r="C56" s="45">
        <v>0</v>
      </c>
      <c r="D56" s="43"/>
      <c r="E56" s="110" t="s">
        <v>57</v>
      </c>
      <c r="F56" s="112"/>
      <c r="G56" s="51">
        <f>B56*C56</f>
        <v>0</v>
      </c>
      <c r="H56" s="2"/>
    </row>
    <row r="57" spans="1:8" x14ac:dyDescent="0.25">
      <c r="A57" s="22" t="s">
        <v>491</v>
      </c>
      <c r="B57" s="3"/>
      <c r="C57" s="45">
        <v>0</v>
      </c>
      <c r="D57" s="43"/>
      <c r="E57" s="110" t="s">
        <v>57</v>
      </c>
      <c r="F57" s="112"/>
      <c r="G57" s="51">
        <f>B57*C57</f>
        <v>0</v>
      </c>
      <c r="H57" s="2"/>
    </row>
    <row r="58" spans="1:8" x14ac:dyDescent="0.25">
      <c r="A58" s="107"/>
      <c r="B58" s="48"/>
      <c r="C58" s="45"/>
      <c r="D58" s="43"/>
      <c r="E58" s="110"/>
      <c r="F58" s="112"/>
      <c r="G58" s="51"/>
      <c r="H58" s="2"/>
    </row>
    <row r="59" spans="1:8" x14ac:dyDescent="0.25">
      <c r="A59" s="107" t="s">
        <v>107</v>
      </c>
      <c r="B59" s="42"/>
      <c r="C59" s="45"/>
      <c r="D59" s="43"/>
      <c r="E59" s="110"/>
      <c r="F59" s="111"/>
      <c r="G59" s="51"/>
      <c r="H59" s="2"/>
    </row>
    <row r="60" spans="1:8" x14ac:dyDescent="0.25">
      <c r="A60" s="114" t="s">
        <v>161</v>
      </c>
      <c r="B60" s="3"/>
      <c r="C60" s="45">
        <f>ROUND(D60*$B$171,2)</f>
        <v>9667.98</v>
      </c>
      <c r="D60" s="43">
        <v>7500</v>
      </c>
      <c r="E60" s="110" t="s">
        <v>57</v>
      </c>
      <c r="F60" s="111"/>
      <c r="G60" s="51">
        <f t="shared" ref="G60:G65" si="7">B60*C60</f>
        <v>0</v>
      </c>
      <c r="H60" s="2"/>
    </row>
    <row r="61" spans="1:8" x14ac:dyDescent="0.25">
      <c r="A61" s="114" t="s">
        <v>162</v>
      </c>
      <c r="B61" s="3"/>
      <c r="C61" s="45">
        <f>ROUND(D61*$B$171,2)</f>
        <v>10957.05</v>
      </c>
      <c r="D61" s="43">
        <v>8500</v>
      </c>
      <c r="E61" s="110" t="s">
        <v>57</v>
      </c>
      <c r="F61" s="112"/>
      <c r="G61" s="51">
        <f t="shared" si="7"/>
        <v>0</v>
      </c>
      <c r="H61" s="2"/>
    </row>
    <row r="62" spans="1:8" x14ac:dyDescent="0.25">
      <c r="A62" s="428" t="s">
        <v>163</v>
      </c>
      <c r="B62" s="422"/>
      <c r="C62" s="45">
        <f>ROUND(D62*$B$171,2)</f>
        <v>14953.15</v>
      </c>
      <c r="D62" s="43">
        <v>11600</v>
      </c>
      <c r="E62" s="382" t="s">
        <v>57</v>
      </c>
      <c r="F62" s="423"/>
      <c r="G62" s="424">
        <f t="shared" si="7"/>
        <v>0</v>
      </c>
      <c r="H62" s="79"/>
    </row>
    <row r="63" spans="1:8" x14ac:dyDescent="0.25">
      <c r="A63" s="428" t="s">
        <v>548</v>
      </c>
      <c r="B63" s="422"/>
      <c r="C63" s="45">
        <f>ROUND(D63*$B$171,2)</f>
        <v>3222.66</v>
      </c>
      <c r="D63" s="43">
        <v>2500</v>
      </c>
      <c r="E63" s="382" t="s">
        <v>57</v>
      </c>
      <c r="F63" s="423"/>
      <c r="G63" s="424">
        <f t="shared" si="7"/>
        <v>0</v>
      </c>
      <c r="H63" s="79"/>
    </row>
    <row r="64" spans="1:8" x14ac:dyDescent="0.25">
      <c r="A64" s="428" t="s">
        <v>549</v>
      </c>
      <c r="B64" s="422"/>
      <c r="C64" s="45">
        <f>ROUND(D64*$B$171,2)</f>
        <v>15114.28</v>
      </c>
      <c r="D64" s="43">
        <v>11725</v>
      </c>
      <c r="E64" s="382" t="s">
        <v>57</v>
      </c>
      <c r="F64" s="423"/>
      <c r="G64" s="424">
        <f t="shared" si="7"/>
        <v>0</v>
      </c>
      <c r="H64" s="79"/>
    </row>
    <row r="65" spans="1:25" x14ac:dyDescent="0.25">
      <c r="A65" s="22" t="s">
        <v>491</v>
      </c>
      <c r="B65" s="3"/>
      <c r="C65" s="45">
        <v>0</v>
      </c>
      <c r="D65" s="43"/>
      <c r="E65" s="110" t="s">
        <v>57</v>
      </c>
      <c r="F65" s="112"/>
      <c r="G65" s="51">
        <f t="shared" si="7"/>
        <v>0</v>
      </c>
      <c r="H65" s="2"/>
    </row>
    <row r="66" spans="1:25" x14ac:dyDescent="0.25">
      <c r="A66" s="107"/>
      <c r="B66" s="48"/>
      <c r="C66" s="45"/>
      <c r="D66" s="43"/>
      <c r="E66" s="110"/>
      <c r="F66" s="112"/>
      <c r="G66" s="51"/>
      <c r="H66" s="115"/>
      <c r="K66" s="116"/>
      <c r="N66" s="116"/>
      <c r="Q66" s="116"/>
      <c r="T66" s="116"/>
      <c r="W66" s="116"/>
    </row>
    <row r="67" spans="1:25" x14ac:dyDescent="0.25">
      <c r="A67" s="107" t="s">
        <v>164</v>
      </c>
      <c r="B67" s="48"/>
      <c r="C67" s="45"/>
      <c r="D67" s="43"/>
      <c r="E67" s="110"/>
      <c r="F67" s="112"/>
      <c r="G67" s="51"/>
      <c r="H67" s="117"/>
      <c r="I67" s="118"/>
      <c r="J67" s="118"/>
      <c r="K67" s="118"/>
      <c r="L67" s="118"/>
      <c r="M67" s="118"/>
      <c r="N67" s="118"/>
      <c r="O67" s="118"/>
      <c r="P67" s="118"/>
      <c r="Q67" s="118"/>
      <c r="R67" s="118"/>
      <c r="S67" s="118"/>
      <c r="T67" s="118"/>
      <c r="U67" s="118"/>
      <c r="V67" s="118"/>
      <c r="W67" s="118"/>
      <c r="X67" s="118"/>
      <c r="Y67" s="118"/>
    </row>
    <row r="68" spans="1:25" x14ac:dyDescent="0.25">
      <c r="A68" s="114" t="s">
        <v>165</v>
      </c>
      <c r="B68" s="3"/>
      <c r="C68" s="45">
        <f>ROUND(D68*$B$171,2)</f>
        <v>4511.7299999999996</v>
      </c>
      <c r="D68" s="43">
        <v>3500</v>
      </c>
      <c r="E68" s="110" t="s">
        <v>57</v>
      </c>
      <c r="F68" s="112"/>
      <c r="G68" s="51">
        <f>B68*C68</f>
        <v>0</v>
      </c>
      <c r="H68" s="2"/>
    </row>
    <row r="69" spans="1:25" x14ac:dyDescent="0.25">
      <c r="A69" s="114" t="s">
        <v>166</v>
      </c>
      <c r="B69" s="3"/>
      <c r="C69" s="45">
        <f>ROUND(D69*$B$171,2)</f>
        <v>2255.86</v>
      </c>
      <c r="D69" s="43">
        <v>1750</v>
      </c>
      <c r="E69" s="110" t="s">
        <v>57</v>
      </c>
      <c r="F69" s="112"/>
      <c r="G69" s="51">
        <f>B69*C69</f>
        <v>0</v>
      </c>
      <c r="H69" s="2"/>
    </row>
    <row r="70" spans="1:25" x14ac:dyDescent="0.25">
      <c r="A70" s="114" t="s">
        <v>167</v>
      </c>
      <c r="B70" s="3"/>
      <c r="C70" s="45">
        <f>ROUND(D70*$B$171,2)</f>
        <v>4769.54</v>
      </c>
      <c r="D70" s="43">
        <v>3700</v>
      </c>
      <c r="E70" s="110" t="s">
        <v>57</v>
      </c>
      <c r="F70" s="119"/>
      <c r="G70" s="51">
        <f>B70*C70</f>
        <v>0</v>
      </c>
      <c r="H70" s="2"/>
    </row>
    <row r="71" spans="1:25" x14ac:dyDescent="0.25">
      <c r="A71" s="114" t="s">
        <v>168</v>
      </c>
      <c r="B71" s="3"/>
      <c r="C71" s="45">
        <v>0</v>
      </c>
      <c r="D71" s="43"/>
      <c r="E71" s="110" t="s">
        <v>57</v>
      </c>
      <c r="F71" s="112"/>
      <c r="G71" s="51">
        <f>B71*C71</f>
        <v>0</v>
      </c>
      <c r="H71" s="2"/>
    </row>
    <row r="72" spans="1:25" x14ac:dyDescent="0.25">
      <c r="A72" s="22" t="s">
        <v>491</v>
      </c>
      <c r="B72" s="3"/>
      <c r="C72" s="45">
        <v>0</v>
      </c>
      <c r="D72" s="43"/>
      <c r="E72" s="110" t="s">
        <v>57</v>
      </c>
      <c r="F72" s="112"/>
      <c r="G72" s="51">
        <f>B72*C72</f>
        <v>0</v>
      </c>
      <c r="H72" s="2"/>
    </row>
    <row r="73" spans="1:25" x14ac:dyDescent="0.25">
      <c r="A73" s="107"/>
      <c r="B73" s="48"/>
      <c r="C73" s="45"/>
      <c r="D73" s="43"/>
      <c r="E73" s="110"/>
      <c r="F73" s="112"/>
      <c r="G73" s="51"/>
      <c r="H73" s="2"/>
    </row>
    <row r="74" spans="1:25" x14ac:dyDescent="0.25">
      <c r="A74" s="107" t="s">
        <v>169</v>
      </c>
      <c r="B74" s="48"/>
      <c r="C74" s="45"/>
      <c r="D74" s="43"/>
      <c r="E74" s="110"/>
      <c r="F74" s="112"/>
      <c r="G74" s="51"/>
      <c r="H74" s="2"/>
    </row>
    <row r="75" spans="1:25" x14ac:dyDescent="0.25">
      <c r="A75" s="114" t="s">
        <v>170</v>
      </c>
      <c r="B75" s="3"/>
      <c r="C75" s="45">
        <f>ROUND(D75*$B$171,2)</f>
        <v>9667.98</v>
      </c>
      <c r="D75" s="43">
        <v>7500</v>
      </c>
      <c r="E75" s="110" t="s">
        <v>57</v>
      </c>
      <c r="F75" s="112"/>
      <c r="G75" s="51">
        <f t="shared" ref="G75:G88" si="8">B75*C75</f>
        <v>0</v>
      </c>
      <c r="H75" s="2"/>
    </row>
    <row r="76" spans="1:25" x14ac:dyDescent="0.25">
      <c r="A76" s="114" t="s">
        <v>171</v>
      </c>
      <c r="B76" s="3"/>
      <c r="C76" s="45">
        <v>0</v>
      </c>
      <c r="D76" s="43"/>
      <c r="E76" s="110" t="s">
        <v>57</v>
      </c>
      <c r="F76" s="111"/>
      <c r="G76" s="51">
        <f t="shared" si="8"/>
        <v>0</v>
      </c>
      <c r="H76" s="2"/>
    </row>
    <row r="77" spans="1:25" x14ac:dyDescent="0.25">
      <c r="A77" s="114" t="s">
        <v>172</v>
      </c>
      <c r="B77" s="3"/>
      <c r="C77" s="45">
        <f>ROUND(D77*$B$171,2)</f>
        <v>13535.18</v>
      </c>
      <c r="D77" s="43">
        <v>10500</v>
      </c>
      <c r="E77" s="110" t="s">
        <v>57</v>
      </c>
      <c r="F77" s="111"/>
      <c r="G77" s="51">
        <f t="shared" si="8"/>
        <v>0</v>
      </c>
      <c r="H77" s="2"/>
    </row>
    <row r="78" spans="1:25" x14ac:dyDescent="0.25">
      <c r="A78" s="22" t="s">
        <v>491</v>
      </c>
      <c r="B78" s="3"/>
      <c r="C78" s="45">
        <v>0</v>
      </c>
      <c r="D78" s="43"/>
      <c r="E78" s="110" t="s">
        <v>57</v>
      </c>
      <c r="F78" s="112"/>
      <c r="G78" s="51">
        <f>B78*C78</f>
        <v>0</v>
      </c>
      <c r="H78" s="2"/>
    </row>
    <row r="79" spans="1:25" x14ac:dyDescent="0.25">
      <c r="A79" s="114"/>
      <c r="B79" s="48"/>
      <c r="C79" s="45"/>
      <c r="D79" s="43"/>
      <c r="E79" s="110"/>
      <c r="F79" s="111"/>
      <c r="G79" s="51"/>
      <c r="H79" s="2"/>
    </row>
    <row r="80" spans="1:25" x14ac:dyDescent="0.25">
      <c r="A80" s="107" t="s">
        <v>176</v>
      </c>
      <c r="B80" s="48"/>
      <c r="C80" s="45"/>
      <c r="D80" s="43"/>
      <c r="E80" s="110"/>
      <c r="F80" s="111"/>
      <c r="G80" s="51"/>
      <c r="H80" s="2"/>
    </row>
    <row r="81" spans="1:8" x14ac:dyDescent="0.25">
      <c r="A81" s="114" t="s">
        <v>151</v>
      </c>
      <c r="B81" s="3"/>
      <c r="C81" s="45">
        <f t="shared" ref="C81:C88" si="9">ROUND(D81*$B$171,2)</f>
        <v>2255.86</v>
      </c>
      <c r="D81" s="43">
        <v>1750</v>
      </c>
      <c r="E81" s="110" t="s">
        <v>57</v>
      </c>
      <c r="F81" s="111"/>
      <c r="G81" s="51">
        <f t="shared" si="8"/>
        <v>0</v>
      </c>
      <c r="H81" s="2"/>
    </row>
    <row r="82" spans="1:8" x14ac:dyDescent="0.25">
      <c r="A82" s="114" t="s">
        <v>152</v>
      </c>
      <c r="B82" s="3"/>
      <c r="C82" s="45">
        <f t="shared" si="9"/>
        <v>2288.09</v>
      </c>
      <c r="D82" s="43">
        <v>1775</v>
      </c>
      <c r="E82" s="110" t="s">
        <v>57</v>
      </c>
      <c r="F82" s="111"/>
      <c r="G82" s="51">
        <f t="shared" si="8"/>
        <v>0</v>
      </c>
      <c r="H82" s="2"/>
    </row>
    <row r="83" spans="1:8" x14ac:dyDescent="0.25">
      <c r="A83" s="428" t="s">
        <v>154</v>
      </c>
      <c r="B83" s="422"/>
      <c r="C83" s="45">
        <f t="shared" si="9"/>
        <v>2320.3200000000002</v>
      </c>
      <c r="D83" s="43">
        <v>1800</v>
      </c>
      <c r="E83" s="382" t="s">
        <v>57</v>
      </c>
      <c r="F83" s="426"/>
      <c r="G83" s="424">
        <f t="shared" si="8"/>
        <v>0</v>
      </c>
      <c r="H83" s="79"/>
    </row>
    <row r="84" spans="1:8" x14ac:dyDescent="0.25">
      <c r="A84" s="428" t="s">
        <v>155</v>
      </c>
      <c r="B84" s="422"/>
      <c r="C84" s="45">
        <f t="shared" si="9"/>
        <v>2835.94</v>
      </c>
      <c r="D84" s="43">
        <v>2200</v>
      </c>
      <c r="E84" s="382" t="s">
        <v>57</v>
      </c>
      <c r="F84" s="426"/>
      <c r="G84" s="424">
        <f t="shared" si="8"/>
        <v>0</v>
      </c>
      <c r="H84" s="79"/>
    </row>
    <row r="85" spans="1:8" x14ac:dyDescent="0.25">
      <c r="A85" s="428" t="s">
        <v>156</v>
      </c>
      <c r="B85" s="422"/>
      <c r="C85" s="45">
        <f t="shared" si="9"/>
        <v>2320.3200000000002</v>
      </c>
      <c r="D85" s="43">
        <v>1800</v>
      </c>
      <c r="E85" s="382" t="s">
        <v>57</v>
      </c>
      <c r="F85" s="426"/>
      <c r="G85" s="424">
        <f t="shared" si="8"/>
        <v>0</v>
      </c>
      <c r="H85" s="79"/>
    </row>
    <row r="86" spans="1:8" x14ac:dyDescent="0.25">
      <c r="A86" s="428" t="s">
        <v>157</v>
      </c>
      <c r="B86" s="422"/>
      <c r="C86" s="45">
        <f t="shared" si="9"/>
        <v>2835.94</v>
      </c>
      <c r="D86" s="43">
        <v>2200</v>
      </c>
      <c r="E86" s="382" t="s">
        <v>57</v>
      </c>
      <c r="F86" s="426"/>
      <c r="G86" s="424">
        <f t="shared" si="8"/>
        <v>0</v>
      </c>
      <c r="H86" s="79"/>
    </row>
    <row r="87" spans="1:8" x14ac:dyDescent="0.25">
      <c r="A87" s="428" t="s">
        <v>550</v>
      </c>
      <c r="B87" s="422"/>
      <c r="C87" s="45">
        <f t="shared" si="9"/>
        <v>3351.57</v>
      </c>
      <c r="D87" s="43">
        <v>2600</v>
      </c>
      <c r="E87" s="382" t="s">
        <v>57</v>
      </c>
      <c r="F87" s="426"/>
      <c r="G87" s="424">
        <f t="shared" si="8"/>
        <v>0</v>
      </c>
      <c r="H87" s="79"/>
    </row>
    <row r="88" spans="1:8" x14ac:dyDescent="0.25">
      <c r="A88" s="428" t="s">
        <v>536</v>
      </c>
      <c r="B88" s="422"/>
      <c r="C88" s="45">
        <f t="shared" si="9"/>
        <v>4511.7299999999996</v>
      </c>
      <c r="D88" s="43">
        <v>3500</v>
      </c>
      <c r="E88" s="382" t="s">
        <v>57</v>
      </c>
      <c r="F88" s="426"/>
      <c r="G88" s="424">
        <f t="shared" si="8"/>
        <v>0</v>
      </c>
      <c r="H88" s="79"/>
    </row>
    <row r="89" spans="1:8" x14ac:dyDescent="0.25">
      <c r="A89" s="22" t="s">
        <v>491</v>
      </c>
      <c r="B89" s="3"/>
      <c r="C89" s="45"/>
      <c r="D89" s="43"/>
      <c r="E89" s="110" t="s">
        <v>57</v>
      </c>
      <c r="F89" s="112"/>
      <c r="G89" s="51">
        <f>B89*C89</f>
        <v>0</v>
      </c>
      <c r="H89" s="2"/>
    </row>
    <row r="90" spans="1:8" x14ac:dyDescent="0.25">
      <c r="A90" s="114"/>
      <c r="B90" s="48"/>
      <c r="C90" s="45"/>
      <c r="D90" s="43"/>
      <c r="E90" s="110"/>
      <c r="F90" s="111"/>
      <c r="G90" s="51"/>
      <c r="H90" s="2"/>
    </row>
    <row r="91" spans="1:8" x14ac:dyDescent="0.25">
      <c r="A91" s="107" t="s">
        <v>24</v>
      </c>
      <c r="B91" s="48"/>
      <c r="C91" s="45"/>
      <c r="D91" s="43"/>
      <c r="E91" s="110"/>
      <c r="F91" s="111"/>
      <c r="G91" s="51"/>
      <c r="H91" s="2"/>
    </row>
    <row r="92" spans="1:8" x14ac:dyDescent="0.25">
      <c r="A92" s="114" t="s">
        <v>173</v>
      </c>
      <c r="B92" s="3"/>
      <c r="C92" s="45">
        <f t="shared" ref="C92:C98" si="10">ROUND(D92*$B$171,2)</f>
        <v>64.45</v>
      </c>
      <c r="D92" s="43">
        <v>50</v>
      </c>
      <c r="E92" s="110" t="s">
        <v>58</v>
      </c>
      <c r="F92" s="111"/>
      <c r="G92" s="51">
        <f t="shared" ref="G92:G126" si="11">B92*C92</f>
        <v>0</v>
      </c>
      <c r="H92" s="2"/>
    </row>
    <row r="93" spans="1:8" x14ac:dyDescent="0.25">
      <c r="A93" s="114" t="s">
        <v>174</v>
      </c>
      <c r="B93" s="3"/>
      <c r="C93" s="45">
        <f t="shared" si="10"/>
        <v>1289.06</v>
      </c>
      <c r="D93" s="43">
        <v>1000</v>
      </c>
      <c r="E93" s="110" t="s">
        <v>57</v>
      </c>
      <c r="F93" s="111"/>
      <c r="G93" s="51">
        <f t="shared" si="11"/>
        <v>0</v>
      </c>
      <c r="H93" s="2"/>
    </row>
    <row r="94" spans="1:8" x14ac:dyDescent="0.25">
      <c r="A94" s="114" t="s">
        <v>175</v>
      </c>
      <c r="B94" s="3"/>
      <c r="C94" s="45">
        <f t="shared" si="10"/>
        <v>5156.26</v>
      </c>
      <c r="D94" s="43">
        <v>4000</v>
      </c>
      <c r="E94" s="110" t="s">
        <v>57</v>
      </c>
      <c r="F94" s="111"/>
      <c r="G94" s="51">
        <f t="shared" si="11"/>
        <v>0</v>
      </c>
      <c r="H94" s="2"/>
    </row>
    <row r="95" spans="1:8" x14ac:dyDescent="0.25">
      <c r="A95" s="114" t="s">
        <v>177</v>
      </c>
      <c r="B95" s="3"/>
      <c r="C95" s="45">
        <f t="shared" si="10"/>
        <v>966.8</v>
      </c>
      <c r="D95" s="43">
        <v>750</v>
      </c>
      <c r="E95" s="110" t="s">
        <v>61</v>
      </c>
      <c r="F95" s="111"/>
      <c r="G95" s="51">
        <f t="shared" si="11"/>
        <v>0</v>
      </c>
      <c r="H95" s="2"/>
    </row>
    <row r="96" spans="1:8" x14ac:dyDescent="0.25">
      <c r="A96" s="114" t="s">
        <v>178</v>
      </c>
      <c r="B96" s="3"/>
      <c r="C96" s="45">
        <f t="shared" si="10"/>
        <v>322.27</v>
      </c>
      <c r="D96" s="43">
        <v>250</v>
      </c>
      <c r="E96" s="120" t="s">
        <v>240</v>
      </c>
      <c r="F96" s="111"/>
      <c r="G96" s="51">
        <f t="shared" si="11"/>
        <v>0</v>
      </c>
      <c r="H96" s="2"/>
    </row>
    <row r="97" spans="1:8" x14ac:dyDescent="0.25">
      <c r="A97" s="114" t="s">
        <v>179</v>
      </c>
      <c r="B97" s="3"/>
      <c r="C97" s="45">
        <f t="shared" si="10"/>
        <v>386.72</v>
      </c>
      <c r="D97" s="43">
        <v>300</v>
      </c>
      <c r="E97" s="110" t="s">
        <v>61</v>
      </c>
      <c r="F97" s="111"/>
      <c r="G97" s="51">
        <f t="shared" si="11"/>
        <v>0</v>
      </c>
      <c r="H97" s="2"/>
    </row>
    <row r="98" spans="1:8" x14ac:dyDescent="0.25">
      <c r="A98" s="114" t="s">
        <v>180</v>
      </c>
      <c r="B98" s="3"/>
      <c r="C98" s="45">
        <f t="shared" si="10"/>
        <v>43828.19</v>
      </c>
      <c r="D98" s="43">
        <v>34000</v>
      </c>
      <c r="E98" s="110" t="s">
        <v>57</v>
      </c>
      <c r="F98" s="111"/>
      <c r="G98" s="51">
        <f t="shared" si="11"/>
        <v>0</v>
      </c>
      <c r="H98" s="2"/>
    </row>
    <row r="99" spans="1:8" x14ac:dyDescent="0.25">
      <c r="A99" s="107" t="s">
        <v>229</v>
      </c>
      <c r="B99" s="3"/>
      <c r="C99" s="45"/>
      <c r="D99" s="43"/>
      <c r="E99" s="110" t="s">
        <v>57</v>
      </c>
      <c r="F99" s="111"/>
      <c r="G99" s="51">
        <f t="shared" si="11"/>
        <v>0</v>
      </c>
      <c r="H99" s="2"/>
    </row>
    <row r="100" spans="1:8" x14ac:dyDescent="0.25">
      <c r="A100" s="107" t="s">
        <v>231</v>
      </c>
      <c r="B100" s="3"/>
      <c r="C100" s="45">
        <f>ROUND(D100*$B$171,2)</f>
        <v>257.81</v>
      </c>
      <c r="D100" s="43">
        <v>200</v>
      </c>
      <c r="E100" s="120" t="s">
        <v>240</v>
      </c>
      <c r="F100" s="111"/>
      <c r="G100" s="51">
        <f t="shared" si="11"/>
        <v>0</v>
      </c>
      <c r="H100" s="2"/>
    </row>
    <row r="101" spans="1:8" x14ac:dyDescent="0.25">
      <c r="A101" s="107" t="s">
        <v>230</v>
      </c>
      <c r="B101" s="3"/>
      <c r="C101" s="45">
        <v>0</v>
      </c>
      <c r="D101" s="43"/>
      <c r="E101" s="110" t="s">
        <v>57</v>
      </c>
      <c r="F101" s="111"/>
      <c r="G101" s="51">
        <f t="shared" si="11"/>
        <v>0</v>
      </c>
      <c r="H101" s="2"/>
    </row>
    <row r="102" spans="1:8" x14ac:dyDescent="0.25">
      <c r="A102" s="549" t="s">
        <v>491</v>
      </c>
      <c r="B102" s="4"/>
      <c r="C102" s="45">
        <v>0</v>
      </c>
      <c r="D102" s="429"/>
      <c r="E102" s="122" t="s">
        <v>57</v>
      </c>
      <c r="F102" s="123"/>
      <c r="G102" s="51">
        <f t="shared" si="11"/>
        <v>0</v>
      </c>
      <c r="H102" s="2"/>
    </row>
    <row r="103" spans="1:8" x14ac:dyDescent="0.25">
      <c r="A103" s="22"/>
      <c r="B103" s="3"/>
      <c r="C103" s="11">
        <v>0</v>
      </c>
      <c r="D103" s="33"/>
      <c r="E103" s="49"/>
      <c r="F103" s="112"/>
      <c r="G103" s="51">
        <f>B103*C103</f>
        <v>0</v>
      </c>
      <c r="H103" s="2"/>
    </row>
    <row r="104" spans="1:8" x14ac:dyDescent="0.25">
      <c r="A104" s="12"/>
      <c r="B104" s="4"/>
      <c r="C104" s="11">
        <v>0</v>
      </c>
      <c r="D104" s="420"/>
      <c r="E104" s="13"/>
      <c r="F104" s="124"/>
      <c r="G104" s="51">
        <f t="shared" ref="G104:G114" si="12">B104*C104</f>
        <v>0</v>
      </c>
      <c r="H104" s="2"/>
    </row>
    <row r="105" spans="1:8" x14ac:dyDescent="0.25">
      <c r="A105" s="12"/>
      <c r="B105" s="4"/>
      <c r="C105" s="11">
        <v>0</v>
      </c>
      <c r="D105" s="420"/>
      <c r="E105" s="13"/>
      <c r="F105" s="124"/>
      <c r="G105" s="51">
        <f t="shared" si="12"/>
        <v>0</v>
      </c>
      <c r="H105" s="2"/>
    </row>
    <row r="106" spans="1:8" x14ac:dyDescent="0.25">
      <c r="A106" s="12"/>
      <c r="B106" s="4"/>
      <c r="C106" s="11">
        <v>0</v>
      </c>
      <c r="D106" s="420"/>
      <c r="E106" s="13"/>
      <c r="F106" s="124"/>
      <c r="G106" s="51">
        <f t="shared" si="12"/>
        <v>0</v>
      </c>
      <c r="H106" s="2"/>
    </row>
    <row r="107" spans="1:8" x14ac:dyDescent="0.25">
      <c r="A107" s="12"/>
      <c r="B107" s="4"/>
      <c r="C107" s="11">
        <v>0</v>
      </c>
      <c r="D107" s="420"/>
      <c r="E107" s="13"/>
      <c r="F107" s="124"/>
      <c r="G107" s="51">
        <f t="shared" si="12"/>
        <v>0</v>
      </c>
      <c r="H107" s="2"/>
    </row>
    <row r="108" spans="1:8" x14ac:dyDescent="0.25">
      <c r="A108" s="12"/>
      <c r="B108" s="4"/>
      <c r="C108" s="11">
        <v>0</v>
      </c>
      <c r="D108" s="420"/>
      <c r="E108" s="13"/>
      <c r="F108" s="124"/>
      <c r="G108" s="51">
        <f t="shared" si="12"/>
        <v>0</v>
      </c>
      <c r="H108" s="2"/>
    </row>
    <row r="109" spans="1:8" x14ac:dyDescent="0.25">
      <c r="A109" s="12"/>
      <c r="B109" s="4"/>
      <c r="C109" s="11">
        <v>0</v>
      </c>
      <c r="D109" s="420"/>
      <c r="E109" s="13"/>
      <c r="F109" s="124"/>
      <c r="G109" s="51">
        <f t="shared" si="12"/>
        <v>0</v>
      </c>
      <c r="H109" s="2"/>
    </row>
    <row r="110" spans="1:8" x14ac:dyDescent="0.25">
      <c r="A110" s="12"/>
      <c r="B110" s="4"/>
      <c r="C110" s="11">
        <v>0</v>
      </c>
      <c r="D110" s="420"/>
      <c r="E110" s="13"/>
      <c r="F110" s="124"/>
      <c r="G110" s="51">
        <f t="shared" si="12"/>
        <v>0</v>
      </c>
      <c r="H110" s="2"/>
    </row>
    <row r="111" spans="1:8" x14ac:dyDescent="0.25">
      <c r="A111" s="12"/>
      <c r="B111" s="4"/>
      <c r="C111" s="11">
        <v>0</v>
      </c>
      <c r="D111" s="420"/>
      <c r="E111" s="13"/>
      <c r="F111" s="124"/>
      <c r="G111" s="51">
        <f t="shared" si="12"/>
        <v>0</v>
      </c>
      <c r="H111" s="2"/>
    </row>
    <row r="112" spans="1:8" x14ac:dyDescent="0.25">
      <c r="A112" s="12"/>
      <c r="B112" s="4"/>
      <c r="C112" s="11">
        <v>0</v>
      </c>
      <c r="D112" s="420"/>
      <c r="E112" s="13"/>
      <c r="F112" s="124"/>
      <c r="G112" s="51">
        <f t="shared" si="12"/>
        <v>0</v>
      </c>
      <c r="H112" s="2"/>
    </row>
    <row r="113" spans="1:8" x14ac:dyDescent="0.25">
      <c r="A113" s="12"/>
      <c r="B113" s="4"/>
      <c r="C113" s="11">
        <v>0</v>
      </c>
      <c r="D113" s="420"/>
      <c r="E113" s="13"/>
      <c r="F113" s="124"/>
      <c r="G113" s="51">
        <f t="shared" si="12"/>
        <v>0</v>
      </c>
      <c r="H113" s="2"/>
    </row>
    <row r="114" spans="1:8" x14ac:dyDescent="0.25">
      <c r="A114" s="12"/>
      <c r="B114" s="4"/>
      <c r="C114" s="11">
        <v>0</v>
      </c>
      <c r="D114" s="420"/>
      <c r="E114" s="13"/>
      <c r="F114" s="124"/>
      <c r="G114" s="51">
        <f t="shared" si="12"/>
        <v>0</v>
      </c>
      <c r="H114" s="2"/>
    </row>
    <row r="115" spans="1:8" x14ac:dyDescent="0.25">
      <c r="A115" s="12"/>
      <c r="B115" s="4"/>
      <c r="C115" s="11">
        <v>0</v>
      </c>
      <c r="D115" s="420"/>
      <c r="E115" s="13"/>
      <c r="F115" s="123"/>
      <c r="G115" s="51">
        <f t="shared" si="11"/>
        <v>0</v>
      </c>
      <c r="H115" s="2"/>
    </row>
    <row r="116" spans="1:8" x14ac:dyDescent="0.25">
      <c r="A116" s="12"/>
      <c r="B116" s="4"/>
      <c r="C116" s="11">
        <v>0</v>
      </c>
      <c r="D116" s="420"/>
      <c r="E116" s="13"/>
      <c r="F116" s="123"/>
      <c r="G116" s="51">
        <f t="shared" si="11"/>
        <v>0</v>
      </c>
      <c r="H116" s="2"/>
    </row>
    <row r="117" spans="1:8" x14ac:dyDescent="0.25">
      <c r="A117" s="12"/>
      <c r="B117" s="4"/>
      <c r="C117" s="11">
        <v>0</v>
      </c>
      <c r="D117" s="420"/>
      <c r="E117" s="13"/>
      <c r="F117" s="123"/>
      <c r="G117" s="51">
        <f t="shared" ref="G117" si="13">B117*C117</f>
        <v>0</v>
      </c>
      <c r="H117" s="2"/>
    </row>
    <row r="118" spans="1:8" x14ac:dyDescent="0.25">
      <c r="A118" s="12"/>
      <c r="B118" s="4"/>
      <c r="C118" s="11">
        <v>0</v>
      </c>
      <c r="D118" s="420"/>
      <c r="E118" s="13"/>
      <c r="F118" s="123"/>
      <c r="G118" s="51">
        <f t="shared" si="11"/>
        <v>0</v>
      </c>
      <c r="H118" s="2"/>
    </row>
    <row r="119" spans="1:8" x14ac:dyDescent="0.25">
      <c r="A119" s="12"/>
      <c r="B119" s="4"/>
      <c r="C119" s="11">
        <v>0</v>
      </c>
      <c r="D119" s="420"/>
      <c r="E119" s="13"/>
      <c r="F119" s="123"/>
      <c r="G119" s="51">
        <f t="shared" si="11"/>
        <v>0</v>
      </c>
      <c r="H119" s="2"/>
    </row>
    <row r="120" spans="1:8" x14ac:dyDescent="0.25">
      <c r="A120" s="12"/>
      <c r="B120" s="4"/>
      <c r="C120" s="11">
        <v>0</v>
      </c>
      <c r="D120" s="420"/>
      <c r="E120" s="13"/>
      <c r="F120" s="123"/>
      <c r="G120" s="51">
        <f t="shared" si="11"/>
        <v>0</v>
      </c>
      <c r="H120" s="2"/>
    </row>
    <row r="121" spans="1:8" x14ac:dyDescent="0.25">
      <c r="A121" s="12"/>
      <c r="B121" s="4"/>
      <c r="C121" s="11">
        <v>0</v>
      </c>
      <c r="D121" s="420"/>
      <c r="E121" s="13"/>
      <c r="F121" s="123"/>
      <c r="G121" s="51">
        <f t="shared" si="11"/>
        <v>0</v>
      </c>
      <c r="H121" s="2"/>
    </row>
    <row r="122" spans="1:8" x14ac:dyDescent="0.25">
      <c r="A122" s="12"/>
      <c r="B122" s="4"/>
      <c r="C122" s="11">
        <v>0</v>
      </c>
      <c r="D122" s="420"/>
      <c r="E122" s="13"/>
      <c r="F122" s="123"/>
      <c r="G122" s="51">
        <f t="shared" si="11"/>
        <v>0</v>
      </c>
      <c r="H122" s="2"/>
    </row>
    <row r="123" spans="1:8" x14ac:dyDescent="0.25">
      <c r="A123" s="14"/>
      <c r="B123" s="4"/>
      <c r="C123" s="11">
        <v>0</v>
      </c>
      <c r="D123" s="420"/>
      <c r="E123" s="13"/>
      <c r="F123" s="123"/>
      <c r="G123" s="51">
        <f t="shared" si="11"/>
        <v>0</v>
      </c>
      <c r="H123" s="2"/>
    </row>
    <row r="124" spans="1:8" x14ac:dyDescent="0.25">
      <c r="A124" s="14"/>
      <c r="B124" s="4"/>
      <c r="C124" s="11">
        <v>0</v>
      </c>
      <c r="D124" s="420"/>
      <c r="E124" s="13"/>
      <c r="F124" s="123"/>
      <c r="G124" s="51">
        <f t="shared" si="11"/>
        <v>0</v>
      </c>
      <c r="H124" s="2"/>
    </row>
    <row r="125" spans="1:8" x14ac:dyDescent="0.25">
      <c r="A125" s="14"/>
      <c r="B125" s="4"/>
      <c r="C125" s="11">
        <v>0</v>
      </c>
      <c r="D125" s="420"/>
      <c r="E125" s="13"/>
      <c r="F125" s="123"/>
      <c r="G125" s="51">
        <f t="shared" si="11"/>
        <v>0</v>
      </c>
      <c r="H125" s="2"/>
    </row>
    <row r="126" spans="1:8" ht="13" thickBot="1" x14ac:dyDescent="0.3">
      <c r="A126" s="15"/>
      <c r="B126" s="6"/>
      <c r="C126" s="16"/>
      <c r="D126" s="40"/>
      <c r="E126" s="17"/>
      <c r="F126" s="125"/>
      <c r="G126" s="126">
        <f t="shared" si="11"/>
        <v>0</v>
      </c>
      <c r="H126" s="2"/>
    </row>
    <row r="127" spans="1:8" ht="13" thickBot="1" x14ac:dyDescent="0.3">
      <c r="A127" s="2"/>
      <c r="B127" s="101"/>
      <c r="C127" s="100"/>
      <c r="D127" s="100"/>
      <c r="E127" s="100"/>
      <c r="F127" s="2"/>
      <c r="G127" s="2"/>
      <c r="H127" s="2"/>
    </row>
    <row r="128" spans="1:8" ht="13" thickBot="1" x14ac:dyDescent="0.3">
      <c r="A128" s="127" t="s">
        <v>316</v>
      </c>
      <c r="B128" s="7"/>
      <c r="C128" s="100"/>
      <c r="D128" s="100"/>
      <c r="E128" s="100"/>
      <c r="F128" s="127" t="s">
        <v>94</v>
      </c>
      <c r="G128" s="54">
        <f>SUM(G15:G126)</f>
        <v>0</v>
      </c>
      <c r="H128" s="2"/>
    </row>
    <row r="129" spans="1:9" x14ac:dyDescent="0.25">
      <c r="A129" s="127"/>
      <c r="B129"/>
      <c r="C129" s="100"/>
      <c r="D129" s="100"/>
      <c r="E129" s="100"/>
      <c r="F129" s="128" t="s">
        <v>317</v>
      </c>
      <c r="G129" s="55">
        <f>IF($B$128="Yes",0.05*G128,0)</f>
        <v>0</v>
      </c>
      <c r="H129" s="2"/>
    </row>
    <row r="130" spans="1:9" x14ac:dyDescent="0.25">
      <c r="A130" s="2"/>
      <c r="B130" s="101"/>
      <c r="C130" s="129"/>
      <c r="D130" s="129"/>
      <c r="E130" s="100"/>
      <c r="F130" s="127" t="s">
        <v>271</v>
      </c>
      <c r="G130" s="54">
        <f>0.15*(G128+G129)</f>
        <v>0</v>
      </c>
      <c r="H130" s="2"/>
    </row>
    <row r="131" spans="1:9" x14ac:dyDescent="0.25">
      <c r="A131" s="130"/>
      <c r="B131" s="101"/>
      <c r="C131" s="100"/>
      <c r="D131" s="100"/>
      <c r="E131" s="100"/>
      <c r="F131" s="127" t="s">
        <v>272</v>
      </c>
      <c r="G131" s="55">
        <f>0.12*(G128+G129+G130)</f>
        <v>0</v>
      </c>
      <c r="H131" s="2"/>
    </row>
    <row r="132" spans="1:9" x14ac:dyDescent="0.25">
      <c r="A132" s="2"/>
      <c r="B132" s="101"/>
      <c r="C132" s="100"/>
      <c r="D132" s="100"/>
      <c r="E132" s="100"/>
      <c r="F132" s="127" t="s">
        <v>273</v>
      </c>
      <c r="G132" s="54">
        <f>SUM(G128:G131)</f>
        <v>0</v>
      </c>
      <c r="H132" s="2"/>
    </row>
    <row r="133" spans="1:9" ht="13" thickBot="1" x14ac:dyDescent="0.3">
      <c r="A133" s="2"/>
      <c r="B133" s="101"/>
      <c r="C133" s="100"/>
      <c r="D133" s="100"/>
      <c r="E133" s="100"/>
      <c r="F133" s="127" t="s">
        <v>96</v>
      </c>
      <c r="G133" s="65">
        <f>IF(G128&gt;1,(IF((G128+G130)&lt;G149,B149,IF((G128+G130)&lt;G150,B149+(E149*((G128+G130)-G149)),IF((G128+G130)&lt;G151,B150+(E150*((G128+G130)-G150)),B151+(E151*((G128+G130)-G151)))))),0)</f>
        <v>0</v>
      </c>
      <c r="H133" s="2"/>
    </row>
    <row r="134" spans="1:9" ht="13.5" thickBot="1" x14ac:dyDescent="0.35">
      <c r="A134" s="2"/>
      <c r="B134" s="101"/>
      <c r="C134" s="100"/>
      <c r="D134" s="100"/>
      <c r="E134" s="100"/>
      <c r="F134" s="131" t="s">
        <v>274</v>
      </c>
      <c r="G134" s="56">
        <f>ROUNDUP(G132+G133,-2)</f>
        <v>0</v>
      </c>
      <c r="H134" s="2"/>
    </row>
    <row r="135" spans="1:9" x14ac:dyDescent="0.25">
      <c r="A135" s="2"/>
      <c r="B135" s="101"/>
      <c r="C135" s="100"/>
      <c r="D135" s="100"/>
      <c r="E135" s="132"/>
      <c r="F135" s="2"/>
      <c r="G135" s="133" t="s">
        <v>250</v>
      </c>
      <c r="H135" s="2"/>
    </row>
    <row r="136" spans="1:9" x14ac:dyDescent="0.25">
      <c r="A136" s="2"/>
      <c r="B136" s="101"/>
      <c r="C136" s="100"/>
      <c r="D136" s="100"/>
      <c r="E136" s="132"/>
      <c r="F136" s="2"/>
      <c r="G136" s="130"/>
      <c r="H136" s="2"/>
    </row>
    <row r="137" spans="1:9" x14ac:dyDescent="0.25">
      <c r="A137" s="134"/>
      <c r="B137" s="135"/>
      <c r="C137" s="136"/>
      <c r="D137" s="136"/>
      <c r="E137" s="136"/>
      <c r="F137" s="122"/>
      <c r="G137" s="123"/>
      <c r="H137" s="2"/>
    </row>
    <row r="138" spans="1:9" ht="13" x14ac:dyDescent="0.3">
      <c r="A138" s="137" t="s">
        <v>98</v>
      </c>
      <c r="B138" s="101"/>
      <c r="C138" s="138"/>
      <c r="D138" s="138"/>
      <c r="E138" s="138"/>
      <c r="F138" s="2"/>
      <c r="G138" s="139"/>
      <c r="H138" s="2"/>
    </row>
    <row r="139" spans="1:9" x14ac:dyDescent="0.25">
      <c r="A139" s="140"/>
      <c r="B139" s="101"/>
      <c r="C139" s="138"/>
      <c r="D139" s="138"/>
      <c r="E139" s="138"/>
      <c r="F139" s="2"/>
      <c r="G139" s="139"/>
      <c r="H139" s="2"/>
    </row>
    <row r="140" spans="1:9" ht="13" thickBot="1" x14ac:dyDescent="0.3">
      <c r="A140" s="140"/>
      <c r="B140" s="101"/>
      <c r="C140" s="138"/>
      <c r="D140" s="138"/>
      <c r="E140" s="127" t="s">
        <v>318</v>
      </c>
      <c r="F140" s="55">
        <f>G132-G131-G129</f>
        <v>0</v>
      </c>
      <c r="G140" s="139"/>
      <c r="H140" s="2"/>
      <c r="I140" s="141"/>
    </row>
    <row r="141" spans="1:9" ht="13.5" thickBot="1" x14ac:dyDescent="0.35">
      <c r="A141" s="140"/>
      <c r="B141" s="101"/>
      <c r="C141" s="138"/>
      <c r="D141" s="138"/>
      <c r="E141" s="142" t="s">
        <v>275</v>
      </c>
      <c r="F141" s="66">
        <f>ROUND(IF(F140&gt;1,(IF(F140&lt;G160,B159,IF(F140&lt;G161,B160+E160*(F140-G160),IF(F140&lt;G162,B161+E161*(F140-G161),IF(F140&lt;G163,B162+E162*(F140-G162),IF(F140&lt;G164,B163+E163*(F140-G163),B164+E164*(F140-G164))))))),0),0)</f>
        <v>0</v>
      </c>
      <c r="G141" s="139"/>
      <c r="H141" s="2"/>
    </row>
    <row r="142" spans="1:9" x14ac:dyDescent="0.25">
      <c r="A142" s="143"/>
      <c r="B142" s="144"/>
      <c r="C142" s="145"/>
      <c r="D142" s="145"/>
      <c r="E142" s="145"/>
      <c r="F142" s="146"/>
      <c r="G142" s="147"/>
      <c r="H142" s="2"/>
    </row>
    <row r="143" spans="1:9" x14ac:dyDescent="0.25">
      <c r="A143" s="2"/>
      <c r="B143" s="101"/>
      <c r="C143" s="138"/>
      <c r="D143" s="138"/>
      <c r="E143" s="138"/>
      <c r="F143" s="2"/>
      <c r="G143" s="2"/>
      <c r="H143" s="2"/>
    </row>
    <row r="144" spans="1:9" ht="13" thickBot="1" x14ac:dyDescent="0.3">
      <c r="A144" s="2"/>
      <c r="B144" s="101"/>
      <c r="C144" s="138"/>
      <c r="D144" s="138"/>
      <c r="E144" s="138"/>
      <c r="F144" s="2"/>
      <c r="G144" s="2"/>
      <c r="H144" s="2"/>
    </row>
    <row r="145" spans="1:9" ht="13" thickBot="1" x14ac:dyDescent="0.3">
      <c r="A145" s="148"/>
      <c r="B145" s="149" t="s">
        <v>243</v>
      </c>
      <c r="C145" s="150"/>
      <c r="D145" s="150"/>
      <c r="E145" s="150"/>
      <c r="F145" s="150"/>
      <c r="G145" s="151"/>
      <c r="H145" s="2"/>
      <c r="I145" s="2"/>
    </row>
    <row r="146" spans="1:9" x14ac:dyDescent="0.25">
      <c r="A146" s="152"/>
      <c r="B146" s="101"/>
      <c r="C146" s="153"/>
      <c r="D146" s="153"/>
      <c r="E146" s="153"/>
      <c r="F146" s="138"/>
      <c r="G146" s="154"/>
      <c r="H146" s="2"/>
      <c r="I146" s="2"/>
    </row>
    <row r="147" spans="1:9" x14ac:dyDescent="0.25">
      <c r="A147" s="152" t="s">
        <v>534</v>
      </c>
      <c r="B147" s="101"/>
      <c r="C147" s="153" t="s">
        <v>97</v>
      </c>
      <c r="D147" s="153"/>
      <c r="E147" s="138"/>
      <c r="F147" s="138"/>
      <c r="G147" s="154"/>
      <c r="H147" s="2"/>
      <c r="I147" s="2"/>
    </row>
    <row r="148" spans="1:9" x14ac:dyDescent="0.25">
      <c r="A148" s="155"/>
      <c r="B148" s="156"/>
      <c r="C148" s="156"/>
      <c r="D148" s="156"/>
      <c r="E148" s="156"/>
      <c r="F148" s="156"/>
      <c r="G148" s="154"/>
      <c r="H148" s="2"/>
      <c r="I148" s="2"/>
    </row>
    <row r="149" spans="1:9" x14ac:dyDescent="0.25">
      <c r="A149" s="155" t="s">
        <v>337</v>
      </c>
      <c r="B149" s="156">
        <v>1384</v>
      </c>
      <c r="C149" s="157" t="s">
        <v>246</v>
      </c>
      <c r="D149" s="157"/>
      <c r="E149" s="175">
        <v>0.28310000000000002</v>
      </c>
      <c r="F149" s="158" t="s">
        <v>207</v>
      </c>
      <c r="G149" s="176">
        <v>2000</v>
      </c>
      <c r="H149" s="2"/>
      <c r="I149" s="2"/>
    </row>
    <row r="150" spans="1:9" x14ac:dyDescent="0.25">
      <c r="A150" s="155" t="s">
        <v>214</v>
      </c>
      <c r="B150" s="156">
        <v>29128</v>
      </c>
      <c r="C150" s="157" t="s">
        <v>246</v>
      </c>
      <c r="D150" s="157"/>
      <c r="E150" s="175">
        <v>9.3899999999999997E-2</v>
      </c>
      <c r="F150" s="158" t="s">
        <v>207</v>
      </c>
      <c r="G150" s="176">
        <v>100000</v>
      </c>
      <c r="H150" s="2"/>
      <c r="I150" s="2"/>
    </row>
    <row r="151" spans="1:9" ht="13" thickBot="1" x14ac:dyDescent="0.3">
      <c r="A151" s="159" t="s">
        <v>215</v>
      </c>
      <c r="B151" s="177">
        <v>66688</v>
      </c>
      <c r="C151" s="160" t="s">
        <v>246</v>
      </c>
      <c r="D151" s="160"/>
      <c r="E151" s="178">
        <v>7.0900000000000005E-2</v>
      </c>
      <c r="F151" s="161" t="s">
        <v>207</v>
      </c>
      <c r="G151" s="179">
        <v>500000</v>
      </c>
      <c r="H151" s="2"/>
      <c r="I151" s="2"/>
    </row>
    <row r="152" spans="1:9" ht="15.5" x14ac:dyDescent="0.25">
      <c r="A152" s="162" t="s">
        <v>245</v>
      </c>
      <c r="B152" s="101"/>
      <c r="C152" s="163"/>
      <c r="D152" s="163"/>
      <c r="E152" s="163"/>
      <c r="F152" s="115"/>
      <c r="G152" s="2"/>
      <c r="H152" s="2"/>
    </row>
    <row r="153" spans="1:9" ht="15.5" x14ac:dyDescent="0.25">
      <c r="A153" s="164" t="s">
        <v>338</v>
      </c>
      <c r="B153" s="101"/>
      <c r="C153" s="163"/>
      <c r="D153" s="163"/>
      <c r="E153" s="163"/>
      <c r="F153" s="115"/>
      <c r="G153" s="2"/>
      <c r="H153" s="2"/>
    </row>
    <row r="154" spans="1:9" x14ac:dyDescent="0.25">
      <c r="A154" s="2"/>
      <c r="B154" s="101"/>
      <c r="C154" s="163"/>
      <c r="D154" s="163"/>
      <c r="E154" s="163"/>
      <c r="F154" s="115"/>
      <c r="G154" s="2"/>
      <c r="H154" s="2"/>
    </row>
    <row r="155" spans="1:9" ht="13" thickBot="1" x14ac:dyDescent="0.3">
      <c r="A155" s="2"/>
      <c r="B155" s="101"/>
      <c r="C155" s="163"/>
      <c r="D155" s="163"/>
      <c r="E155" s="163"/>
      <c r="F155" s="115"/>
      <c r="G155" s="2"/>
      <c r="H155" s="2"/>
    </row>
    <row r="156" spans="1:9" ht="13" thickBot="1" x14ac:dyDescent="0.3">
      <c r="A156" s="148"/>
      <c r="B156" s="149" t="s">
        <v>95</v>
      </c>
      <c r="C156" s="165"/>
      <c r="D156" s="165"/>
      <c r="E156" s="165"/>
      <c r="F156" s="166"/>
      <c r="G156" s="151"/>
      <c r="H156" s="2"/>
      <c r="I156" s="2"/>
    </row>
    <row r="157" spans="1:9" x14ac:dyDescent="0.25">
      <c r="A157" s="152" t="s">
        <v>323</v>
      </c>
      <c r="B157" s="101"/>
      <c r="C157" s="153" t="s">
        <v>324</v>
      </c>
      <c r="D157" s="153"/>
      <c r="E157" s="153"/>
      <c r="F157" s="158"/>
      <c r="G157" s="154"/>
      <c r="H157" s="2"/>
      <c r="I157" s="2"/>
    </row>
    <row r="158" spans="1:9" x14ac:dyDescent="0.25">
      <c r="A158" s="152"/>
      <c r="B158" s="101"/>
      <c r="C158" s="156"/>
      <c r="D158" s="156"/>
      <c r="E158" s="156"/>
      <c r="F158" s="158"/>
      <c r="G158" s="154"/>
      <c r="H158" s="2"/>
      <c r="I158" s="2"/>
    </row>
    <row r="159" spans="1:9" x14ac:dyDescent="0.25">
      <c r="A159" s="180" t="s">
        <v>208</v>
      </c>
      <c r="B159" s="167">
        <v>7009</v>
      </c>
      <c r="C159" s="167"/>
      <c r="D159" s="167"/>
      <c r="E159" s="167"/>
      <c r="F159" s="158"/>
      <c r="G159" s="154"/>
      <c r="H159" s="2"/>
      <c r="I159" s="2"/>
    </row>
    <row r="160" spans="1:9" x14ac:dyDescent="0.25">
      <c r="A160" s="180" t="s">
        <v>209</v>
      </c>
      <c r="B160" s="167">
        <v>7009</v>
      </c>
      <c r="C160" s="168" t="s">
        <v>246</v>
      </c>
      <c r="D160" s="168"/>
      <c r="E160" s="181">
        <v>0.15820000000000001</v>
      </c>
      <c r="F160" s="169" t="s">
        <v>207</v>
      </c>
      <c r="G160" s="182">
        <v>10000</v>
      </c>
      <c r="H160" s="2"/>
      <c r="I160" s="2"/>
    </row>
    <row r="161" spans="1:9" x14ac:dyDescent="0.25">
      <c r="A161" s="180" t="s">
        <v>210</v>
      </c>
      <c r="B161" s="167">
        <v>13337</v>
      </c>
      <c r="C161" s="168" t="s">
        <v>246</v>
      </c>
      <c r="D161" s="168"/>
      <c r="E161" s="183">
        <v>9.0399999999999994E-2</v>
      </c>
      <c r="F161" s="158" t="s">
        <v>207</v>
      </c>
      <c r="G161" s="176">
        <v>50000</v>
      </c>
      <c r="H161" s="2"/>
      <c r="I161" s="2"/>
    </row>
    <row r="162" spans="1:9" x14ac:dyDescent="0.25">
      <c r="A162" s="180" t="s">
        <v>197</v>
      </c>
      <c r="B162" s="167">
        <v>17857</v>
      </c>
      <c r="C162" s="168" t="s">
        <v>246</v>
      </c>
      <c r="D162" s="168"/>
      <c r="E162" s="183">
        <v>6.08E-2</v>
      </c>
      <c r="F162" s="169" t="s">
        <v>207</v>
      </c>
      <c r="G162" s="182">
        <v>100000</v>
      </c>
      <c r="H162" s="2"/>
      <c r="I162" s="2"/>
    </row>
    <row r="163" spans="1:9" x14ac:dyDescent="0.25">
      <c r="A163" s="180" t="s">
        <v>211</v>
      </c>
      <c r="B163" s="167">
        <v>42177</v>
      </c>
      <c r="C163" s="168" t="s">
        <v>246</v>
      </c>
      <c r="D163" s="168"/>
      <c r="E163" s="183">
        <v>2.1700000000000001E-2</v>
      </c>
      <c r="F163" s="169" t="s">
        <v>207</v>
      </c>
      <c r="G163" s="182">
        <v>500000</v>
      </c>
      <c r="H163" s="2"/>
      <c r="I163" s="2"/>
    </row>
    <row r="164" spans="1:9" ht="13" thickBot="1" x14ac:dyDescent="0.3">
      <c r="A164" s="184" t="s">
        <v>241</v>
      </c>
      <c r="B164" s="185">
        <v>53027</v>
      </c>
      <c r="C164" s="170" t="s">
        <v>246</v>
      </c>
      <c r="D164" s="170"/>
      <c r="E164" s="186">
        <v>3.7000000000000002E-3</v>
      </c>
      <c r="F164" s="171" t="s">
        <v>207</v>
      </c>
      <c r="G164" s="187">
        <v>1000000</v>
      </c>
      <c r="H164" s="2"/>
      <c r="I164" s="2"/>
    </row>
    <row r="165" spans="1:9" x14ac:dyDescent="0.25">
      <c r="A165" s="2"/>
      <c r="B165" s="101"/>
      <c r="C165" s="163"/>
      <c r="D165" s="163"/>
      <c r="E165" s="163"/>
      <c r="F165" s="2"/>
      <c r="G165" s="2"/>
      <c r="H165" s="2"/>
    </row>
    <row r="166" spans="1:9" x14ac:dyDescent="0.25">
      <c r="A166" s="67" t="s">
        <v>212</v>
      </c>
      <c r="B166" s="101"/>
      <c r="C166" s="163"/>
      <c r="D166" s="163"/>
      <c r="E166" s="163"/>
      <c r="F166" s="2"/>
      <c r="G166" s="2"/>
      <c r="H166" s="2"/>
    </row>
    <row r="167" spans="1:9" x14ac:dyDescent="0.25">
      <c r="A167" s="188" t="s">
        <v>577</v>
      </c>
      <c r="B167" s="101"/>
      <c r="C167" s="163"/>
      <c r="D167" s="163"/>
      <c r="E167" s="163"/>
      <c r="F167" s="2"/>
      <c r="G167" s="2"/>
      <c r="H167" s="2"/>
    </row>
    <row r="168" spans="1:9" x14ac:dyDescent="0.25">
      <c r="A168" s="67" t="s">
        <v>213</v>
      </c>
      <c r="C168" s="173"/>
      <c r="D168" s="173"/>
      <c r="E168" s="173"/>
    </row>
    <row r="169" spans="1:9" x14ac:dyDescent="0.25">
      <c r="C169" s="173"/>
      <c r="D169" s="173"/>
      <c r="E169" s="173"/>
    </row>
    <row r="170" spans="1:9" x14ac:dyDescent="0.25">
      <c r="C170" s="173"/>
      <c r="D170" s="173"/>
      <c r="E170" s="173"/>
    </row>
    <row r="171" spans="1:9" hidden="1" x14ac:dyDescent="0.25">
      <c r="A171" t="s">
        <v>551</v>
      </c>
      <c r="B171" s="430">
        <f>PRODUCT(Instructions!D12:D36)</f>
        <v>1.2890643029126863</v>
      </c>
      <c r="C171" s="173"/>
      <c r="D171" s="173"/>
      <c r="E171" s="173"/>
    </row>
    <row r="172" spans="1:9" x14ac:dyDescent="0.25">
      <c r="C172" s="173"/>
      <c r="D172" s="173"/>
      <c r="E172" s="173"/>
    </row>
    <row r="173" spans="1:9" x14ac:dyDescent="0.25">
      <c r="C173" s="173"/>
      <c r="D173" s="173"/>
      <c r="E173" s="173"/>
    </row>
  </sheetData>
  <sheetProtection algorithmName="SHA-512" hashValue="THtCWB6leIK18ZTfqySAOhMPCmpbPEhDWkbbmbTmsMYWw5bI7X/FS6Y7RkrhXzXD7LPlMbvo6VizKUEv/ft+cQ==" saltValue="dok5g6pOeTD0dN5LHuOVyQ==" spinCount="100000" sheet="1" insertRows="0" selectLockedCells="1"/>
  <customSheetViews>
    <customSheetView guid="{0CFDFAE3-BA5A-49B1-8AEF-ACE06B5A41A2}">
      <rowBreaks count="1" manualBreakCount="1">
        <brk id="62" max="5" man="1"/>
      </rowBreaks>
      <pageMargins left="0" right="0" top="0.51" bottom="0.17" header="0.23" footer="0.18"/>
      <printOptions horizontalCentered="1"/>
      <pageSetup scale="93" orientation="portrait" r:id="rId1"/>
      <headerFooter alignWithMargins="0">
        <oddFooter>&amp;LFees Effective 07/01/2011&amp;RPage &amp;P of &amp;N</oddFooter>
      </headerFooter>
    </customSheetView>
  </customSheetViews>
  <mergeCells count="2">
    <mergeCell ref="C12:F12"/>
    <mergeCell ref="C13:E13"/>
  </mergeCells>
  <phoneticPr fontId="0" type="noConversion"/>
  <dataValidations disablePrompts="1" count="1">
    <dataValidation type="list" allowBlank="1" showInputMessage="1" showErrorMessage="1" sqref="B128" xr:uid="{00000000-0002-0000-0400-000000000000}">
      <formula1>"Yes,No"</formula1>
    </dataValidation>
  </dataValidations>
  <printOptions horizontalCentered="1"/>
  <pageMargins left="0" right="0" top="0.51" bottom="0.4" header="0.23" footer="0.17"/>
  <pageSetup scale="95" fitToHeight="30" orientation="portrait" r:id="rId2"/>
  <headerFooter alignWithMargins="0">
    <oddHeader>&amp;RPage &amp;P of &amp;N</oddHeader>
    <oddFooter>&amp;LFees Effective 07/01/2025</oddFooter>
    <evenFooter>Page &amp;P of &amp;N</evenFooter>
  </headerFooter>
  <rowBreaks count="2" manualBreakCount="2">
    <brk id="90" max="5" man="1"/>
    <brk id="136" max="5"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21"/>
  <sheetViews>
    <sheetView zoomScaleNormal="100" zoomScaleSheetLayoutView="115" workbookViewId="0">
      <selection activeCell="B15" sqref="B15"/>
    </sheetView>
  </sheetViews>
  <sheetFormatPr defaultColWidth="9.08984375" defaultRowHeight="12.5" x14ac:dyDescent="0.25"/>
  <cols>
    <col min="1" max="1" width="48" customWidth="1"/>
    <col min="2" max="2" width="11.453125" style="172" bestFit="1" customWidth="1"/>
    <col min="3" max="3" width="12.54296875" style="360" customWidth="1"/>
    <col min="4" max="4" width="12.54296875" style="360" hidden="1" customWidth="1"/>
    <col min="5" max="5" width="7.90625" style="360" customWidth="1"/>
    <col min="6" max="6" width="15.08984375" customWidth="1"/>
    <col min="7" max="7" width="14.08984375" customWidth="1"/>
    <col min="10" max="10" width="10.36328125" bestFit="1" customWidth="1"/>
  </cols>
  <sheetData>
    <row r="1" spans="1:10" ht="13" x14ac:dyDescent="0.3">
      <c r="A1" s="2"/>
      <c r="B1" s="99"/>
      <c r="C1" s="100"/>
      <c r="D1" s="100"/>
      <c r="E1" s="100"/>
      <c r="F1" s="2"/>
      <c r="G1" s="2"/>
      <c r="H1" s="2"/>
    </row>
    <row r="2" spans="1:10" ht="13" x14ac:dyDescent="0.3">
      <c r="A2" s="2"/>
      <c r="B2" s="99"/>
      <c r="C2" s="100"/>
      <c r="D2" s="100"/>
      <c r="E2" s="100"/>
      <c r="F2" s="2"/>
      <c r="G2" s="2"/>
      <c r="H2" s="2"/>
    </row>
    <row r="3" spans="1:10" x14ac:dyDescent="0.25">
      <c r="A3" s="2"/>
      <c r="B3" s="101"/>
      <c r="C3" s="100"/>
      <c r="D3" s="100"/>
      <c r="E3" s="100"/>
      <c r="F3" s="2"/>
      <c r="G3" s="2"/>
      <c r="H3" s="2"/>
    </row>
    <row r="4" spans="1:10" x14ac:dyDescent="0.25">
      <c r="A4" s="2"/>
      <c r="B4" s="101"/>
      <c r="C4" s="100"/>
      <c r="D4" s="100"/>
      <c r="E4" s="100"/>
      <c r="F4" s="2"/>
      <c r="G4" s="2"/>
      <c r="H4" s="2"/>
    </row>
    <row r="5" spans="1:10" x14ac:dyDescent="0.25">
      <c r="A5" s="2"/>
      <c r="B5" s="101"/>
      <c r="C5" s="100"/>
      <c r="D5" s="100"/>
      <c r="E5" s="100"/>
      <c r="F5" s="2"/>
      <c r="G5" s="2"/>
      <c r="H5" s="2"/>
    </row>
    <row r="6" spans="1:10" x14ac:dyDescent="0.25">
      <c r="A6" s="2"/>
      <c r="B6" s="101"/>
      <c r="C6" s="100"/>
      <c r="D6" s="100"/>
      <c r="E6" s="100"/>
      <c r="F6" s="2"/>
      <c r="G6" s="2"/>
      <c r="H6" s="2"/>
    </row>
    <row r="7" spans="1:10" x14ac:dyDescent="0.25">
      <c r="A7" s="2"/>
      <c r="B7" s="101"/>
      <c r="C7" s="100"/>
      <c r="D7" s="100"/>
      <c r="E7" s="100"/>
      <c r="F7" s="2"/>
      <c r="G7" s="2"/>
      <c r="H7" s="2"/>
    </row>
    <row r="8" spans="1:10" x14ac:dyDescent="0.25">
      <c r="A8" s="2"/>
      <c r="B8" s="101"/>
      <c r="C8" s="100"/>
      <c r="D8" s="100"/>
      <c r="E8" s="100"/>
      <c r="F8" s="2"/>
      <c r="G8" s="2"/>
      <c r="H8" s="2"/>
    </row>
    <row r="9" spans="1:10" x14ac:dyDescent="0.25">
      <c r="A9" s="2"/>
      <c r="B9" s="101"/>
      <c r="C9" s="100"/>
      <c r="D9" s="100"/>
      <c r="E9" s="100"/>
      <c r="F9" s="2"/>
      <c r="G9" s="2"/>
      <c r="H9" s="2"/>
    </row>
    <row r="10" spans="1:10" ht="13" thickBot="1" x14ac:dyDescent="0.3">
      <c r="A10" s="2"/>
      <c r="B10" s="101"/>
      <c r="C10" s="100"/>
      <c r="D10" s="100"/>
      <c r="E10" s="100"/>
      <c r="F10" s="2"/>
      <c r="G10" s="2"/>
      <c r="H10" s="2"/>
    </row>
    <row r="11" spans="1:10" ht="13" thickBot="1" x14ac:dyDescent="0.3">
      <c r="A11" s="2"/>
      <c r="B11" s="101"/>
      <c r="C11" s="100"/>
      <c r="D11" s="100"/>
      <c r="E11" s="100"/>
      <c r="F11" s="2"/>
      <c r="G11" s="2"/>
      <c r="H11" s="2"/>
    </row>
    <row r="12" spans="1:10" ht="13.5" thickBot="1" x14ac:dyDescent="0.35">
      <c r="A12" s="102" t="s">
        <v>0</v>
      </c>
      <c r="B12" s="103" t="s">
        <v>1</v>
      </c>
      <c r="C12" s="518" t="s">
        <v>2</v>
      </c>
      <c r="D12" s="519"/>
      <c r="E12" s="519"/>
      <c r="F12" s="520"/>
      <c r="G12" s="102" t="s">
        <v>3</v>
      </c>
      <c r="H12" s="2"/>
    </row>
    <row r="13" spans="1:10" x14ac:dyDescent="0.25">
      <c r="A13" s="104"/>
      <c r="B13" s="105"/>
      <c r="C13" s="485"/>
      <c r="D13" s="486"/>
      <c r="E13" s="487"/>
      <c r="F13" s="80"/>
      <c r="G13" s="106"/>
      <c r="H13" s="2"/>
    </row>
    <row r="14" spans="1:10" x14ac:dyDescent="0.25">
      <c r="A14" s="107" t="s">
        <v>99</v>
      </c>
      <c r="B14" s="108"/>
      <c r="C14" s="109"/>
      <c r="D14" s="119"/>
      <c r="E14" s="110"/>
      <c r="F14" s="111"/>
      <c r="G14" s="51"/>
      <c r="H14" s="2"/>
    </row>
    <row r="15" spans="1:10" x14ac:dyDescent="0.25">
      <c r="A15" s="107" t="s">
        <v>100</v>
      </c>
      <c r="B15" s="3"/>
      <c r="C15" s="53">
        <f t="shared" ref="C15:C21" si="0">ROUND(CPI*D15,2)</f>
        <v>120.25</v>
      </c>
      <c r="D15" s="53">
        <v>84.01</v>
      </c>
      <c r="E15" s="110" t="s">
        <v>58</v>
      </c>
      <c r="F15" s="112"/>
      <c r="G15" s="51">
        <f t="shared" ref="G15:G22" si="1">B15*C15</f>
        <v>0</v>
      </c>
      <c r="H15" s="2"/>
      <c r="J15" s="138"/>
    </row>
    <row r="16" spans="1:10" x14ac:dyDescent="0.25">
      <c r="A16" s="107" t="s">
        <v>101</v>
      </c>
      <c r="B16" s="3"/>
      <c r="C16" s="53">
        <f t="shared" si="0"/>
        <v>123.46</v>
      </c>
      <c r="D16" s="53">
        <v>86.25</v>
      </c>
      <c r="E16" s="110" t="s">
        <v>58</v>
      </c>
      <c r="F16" s="112"/>
      <c r="G16" s="51">
        <f t="shared" si="1"/>
        <v>0</v>
      </c>
      <c r="H16" s="2"/>
      <c r="J16" s="138"/>
    </row>
    <row r="17" spans="1:23" x14ac:dyDescent="0.25">
      <c r="A17" s="107" t="s">
        <v>102</v>
      </c>
      <c r="B17" s="3"/>
      <c r="C17" s="53">
        <f t="shared" si="0"/>
        <v>131.16999999999999</v>
      </c>
      <c r="D17" s="53">
        <v>91.64</v>
      </c>
      <c r="E17" s="110" t="s">
        <v>58</v>
      </c>
      <c r="F17" s="112"/>
      <c r="G17" s="51">
        <f t="shared" si="1"/>
        <v>0</v>
      </c>
      <c r="H17" s="2"/>
      <c r="J17" s="138"/>
    </row>
    <row r="18" spans="1:23" x14ac:dyDescent="0.25">
      <c r="A18" s="107" t="s">
        <v>103</v>
      </c>
      <c r="B18" s="3"/>
      <c r="C18" s="53">
        <f t="shared" si="0"/>
        <v>138.88999999999999</v>
      </c>
      <c r="D18" s="53">
        <v>97.03</v>
      </c>
      <c r="E18" s="110" t="s">
        <v>58</v>
      </c>
      <c r="F18" s="112"/>
      <c r="G18" s="51">
        <f t="shared" si="1"/>
        <v>0</v>
      </c>
      <c r="H18" s="2"/>
      <c r="J18" s="138"/>
    </row>
    <row r="19" spans="1:23" x14ac:dyDescent="0.25">
      <c r="A19" s="107" t="s">
        <v>104</v>
      </c>
      <c r="B19" s="3"/>
      <c r="C19" s="53">
        <f t="shared" si="0"/>
        <v>146.6</v>
      </c>
      <c r="D19" s="53">
        <v>102.42</v>
      </c>
      <c r="E19" s="110" t="s">
        <v>58</v>
      </c>
      <c r="F19" s="112"/>
      <c r="G19" s="51">
        <f t="shared" si="1"/>
        <v>0</v>
      </c>
      <c r="H19" s="2"/>
      <c r="J19" s="138"/>
    </row>
    <row r="20" spans="1:23" x14ac:dyDescent="0.25">
      <c r="A20" s="107" t="s">
        <v>105</v>
      </c>
      <c r="B20" s="3"/>
      <c r="C20" s="53">
        <f t="shared" si="0"/>
        <v>154.32</v>
      </c>
      <c r="D20" s="53">
        <v>107.81</v>
      </c>
      <c r="E20" s="110" t="s">
        <v>58</v>
      </c>
      <c r="F20" s="112"/>
      <c r="G20" s="51">
        <f t="shared" si="1"/>
        <v>0</v>
      </c>
      <c r="H20" s="2"/>
      <c r="J20" s="138"/>
    </row>
    <row r="21" spans="1:23" x14ac:dyDescent="0.25">
      <c r="A21" s="107" t="s">
        <v>106</v>
      </c>
      <c r="B21" s="3"/>
      <c r="C21" s="53">
        <f t="shared" si="0"/>
        <v>162.05000000000001</v>
      </c>
      <c r="D21" s="53">
        <v>113.21</v>
      </c>
      <c r="E21" s="110" t="s">
        <v>58</v>
      </c>
      <c r="F21" s="112"/>
      <c r="G21" s="51">
        <f t="shared" si="1"/>
        <v>0</v>
      </c>
      <c r="H21" s="2"/>
      <c r="J21" s="138"/>
    </row>
    <row r="22" spans="1:23" x14ac:dyDescent="0.25">
      <c r="A22" s="22" t="s">
        <v>491</v>
      </c>
      <c r="B22" s="3"/>
      <c r="C22" s="45">
        <v>0</v>
      </c>
      <c r="D22" s="53"/>
      <c r="E22" s="110" t="s">
        <v>58</v>
      </c>
      <c r="F22" s="112"/>
      <c r="G22" s="51">
        <f t="shared" si="1"/>
        <v>0</v>
      </c>
      <c r="H22" s="2"/>
      <c r="J22" s="138"/>
    </row>
    <row r="23" spans="1:23" x14ac:dyDescent="0.25">
      <c r="A23" s="107"/>
      <c r="B23" s="108"/>
      <c r="C23" s="109"/>
      <c r="D23" s="53"/>
      <c r="E23" s="110"/>
      <c r="F23" s="111"/>
      <c r="G23" s="51"/>
      <c r="H23" s="2"/>
      <c r="J23" s="138"/>
    </row>
    <row r="24" spans="1:23" x14ac:dyDescent="0.25">
      <c r="A24" s="107" t="s">
        <v>107</v>
      </c>
      <c r="B24" s="108"/>
      <c r="C24" s="109"/>
      <c r="D24" s="53"/>
      <c r="E24" s="110"/>
      <c r="F24" s="111"/>
      <c r="G24" s="51"/>
      <c r="H24" s="2"/>
      <c r="J24" s="138"/>
    </row>
    <row r="25" spans="1:23" x14ac:dyDescent="0.25">
      <c r="A25" s="107" t="s">
        <v>108</v>
      </c>
      <c r="B25" s="3"/>
      <c r="C25" s="53">
        <f>ROUND(CPI*D25,2)</f>
        <v>7716.23</v>
      </c>
      <c r="D25" s="53">
        <v>5390.73</v>
      </c>
      <c r="E25" s="110" t="s">
        <v>57</v>
      </c>
      <c r="F25" s="112"/>
      <c r="G25" s="51">
        <f t="shared" ref="G25:G42" si="2">B25*C25</f>
        <v>0</v>
      </c>
      <c r="H25" s="2"/>
      <c r="J25" s="138"/>
    </row>
    <row r="26" spans="1:23" x14ac:dyDescent="0.25">
      <c r="A26" s="107" t="s">
        <v>109</v>
      </c>
      <c r="B26" s="3"/>
      <c r="C26" s="53">
        <f>ROUND(CPI*D26,2)</f>
        <v>3086.49</v>
      </c>
      <c r="D26" s="53">
        <v>2156.29</v>
      </c>
      <c r="E26" s="110" t="s">
        <v>57</v>
      </c>
      <c r="F26" s="112"/>
      <c r="G26" s="51">
        <f t="shared" si="2"/>
        <v>0</v>
      </c>
      <c r="H26" s="2"/>
      <c r="J26" s="138"/>
    </row>
    <row r="27" spans="1:23" x14ac:dyDescent="0.25">
      <c r="A27" s="22" t="s">
        <v>491</v>
      </c>
      <c r="B27" s="3"/>
      <c r="C27" s="45">
        <v>0</v>
      </c>
      <c r="D27" s="53"/>
      <c r="E27" s="110" t="s">
        <v>58</v>
      </c>
      <c r="F27" s="112"/>
      <c r="G27" s="51">
        <f t="shared" si="2"/>
        <v>0</v>
      </c>
      <c r="H27" s="2"/>
      <c r="J27" s="138"/>
    </row>
    <row r="28" spans="1:23" x14ac:dyDescent="0.25">
      <c r="A28" s="107"/>
      <c r="B28" s="113"/>
      <c r="C28" s="109"/>
      <c r="D28" s="53"/>
      <c r="E28" s="110"/>
      <c r="F28" s="112"/>
      <c r="G28" s="51"/>
      <c r="H28" s="115"/>
      <c r="I28" s="116"/>
      <c r="J28" s="138"/>
      <c r="L28" s="116"/>
      <c r="O28" s="116"/>
      <c r="R28" s="116"/>
      <c r="U28" s="116"/>
    </row>
    <row r="29" spans="1:23" x14ac:dyDescent="0.25">
      <c r="A29" s="107" t="s">
        <v>110</v>
      </c>
      <c r="B29" s="113"/>
      <c r="C29" s="109"/>
      <c r="D29" s="53"/>
      <c r="E29" s="110"/>
      <c r="F29" s="112"/>
      <c r="G29" s="51"/>
      <c r="H29" s="117"/>
      <c r="I29" s="118"/>
      <c r="J29" s="138"/>
      <c r="K29" s="118"/>
      <c r="L29" s="118"/>
      <c r="M29" s="118"/>
      <c r="N29" s="118"/>
      <c r="O29" s="118"/>
      <c r="P29" s="118"/>
      <c r="Q29" s="118"/>
      <c r="R29" s="118"/>
      <c r="S29" s="118"/>
      <c r="T29" s="118"/>
      <c r="U29" s="118"/>
      <c r="V29" s="118"/>
      <c r="W29" s="118"/>
    </row>
    <row r="30" spans="1:23" x14ac:dyDescent="0.25">
      <c r="A30" s="107" t="s">
        <v>111</v>
      </c>
      <c r="B30" s="3"/>
      <c r="C30" s="53">
        <f>ROUND(CPI*D30,2)</f>
        <v>16.2</v>
      </c>
      <c r="D30" s="53">
        <v>11.32</v>
      </c>
      <c r="E30" s="110" t="s">
        <v>58</v>
      </c>
      <c r="F30" s="112"/>
      <c r="G30" s="51">
        <f t="shared" si="2"/>
        <v>0</v>
      </c>
      <c r="H30" s="2"/>
      <c r="J30" s="138"/>
    </row>
    <row r="31" spans="1:23" x14ac:dyDescent="0.25">
      <c r="A31" s="107" t="s">
        <v>112</v>
      </c>
      <c r="B31" s="3"/>
      <c r="C31" s="53">
        <f>ROUND(CPI*D31,2)</f>
        <v>23.92</v>
      </c>
      <c r="D31" s="53">
        <v>16.71</v>
      </c>
      <c r="E31" s="110" t="s">
        <v>58</v>
      </c>
      <c r="F31" s="112"/>
      <c r="G31" s="51">
        <f t="shared" si="2"/>
        <v>0</v>
      </c>
      <c r="H31" s="2"/>
      <c r="J31" s="138"/>
    </row>
    <row r="32" spans="1:23" x14ac:dyDescent="0.25">
      <c r="A32" s="107" t="s">
        <v>113</v>
      </c>
      <c r="B32" s="3"/>
      <c r="C32" s="53">
        <f>ROUND(CPI*D32,2)</f>
        <v>40.14</v>
      </c>
      <c r="D32" s="53">
        <v>28.04</v>
      </c>
      <c r="E32" s="110" t="s">
        <v>58</v>
      </c>
      <c r="F32" s="119"/>
      <c r="G32" s="51">
        <f t="shared" si="2"/>
        <v>0</v>
      </c>
      <c r="H32" s="2"/>
      <c r="J32" s="138"/>
    </row>
    <row r="33" spans="1:11" x14ac:dyDescent="0.25">
      <c r="A33" s="107" t="s">
        <v>114</v>
      </c>
      <c r="B33" s="3"/>
      <c r="C33" s="53">
        <f>ROUND(CPI*D33,2)</f>
        <v>47.85</v>
      </c>
      <c r="D33" s="53">
        <v>33.43</v>
      </c>
      <c r="E33" s="110" t="s">
        <v>58</v>
      </c>
      <c r="F33" s="112"/>
      <c r="G33" s="51">
        <f t="shared" si="2"/>
        <v>0</v>
      </c>
      <c r="H33" s="2"/>
      <c r="J33" s="138"/>
    </row>
    <row r="34" spans="1:11" x14ac:dyDescent="0.25">
      <c r="A34" s="107" t="s">
        <v>115</v>
      </c>
      <c r="B34" s="3"/>
      <c r="C34" s="53">
        <f>ROUND(CPI*D34,2)</f>
        <v>56.33</v>
      </c>
      <c r="D34" s="53">
        <v>39.35</v>
      </c>
      <c r="E34" s="110" t="s">
        <v>58</v>
      </c>
      <c r="F34" s="112"/>
      <c r="G34" s="51">
        <f t="shared" si="2"/>
        <v>0</v>
      </c>
      <c r="H34" s="2"/>
      <c r="J34" s="138"/>
    </row>
    <row r="35" spans="1:11" x14ac:dyDescent="0.25">
      <c r="A35" s="22" t="s">
        <v>491</v>
      </c>
      <c r="B35" s="3"/>
      <c r="C35" s="45">
        <v>0</v>
      </c>
      <c r="D35" s="53"/>
      <c r="E35" s="110" t="s">
        <v>58</v>
      </c>
      <c r="F35" s="112"/>
      <c r="G35" s="51">
        <f t="shared" si="2"/>
        <v>0</v>
      </c>
      <c r="H35" s="2"/>
      <c r="J35" s="138"/>
    </row>
    <row r="36" spans="1:11" x14ac:dyDescent="0.25">
      <c r="A36" s="107"/>
      <c r="B36" s="113"/>
      <c r="C36" s="109"/>
      <c r="D36" s="53"/>
      <c r="E36" s="110"/>
      <c r="F36" s="112"/>
      <c r="G36" s="51"/>
      <c r="H36" s="2"/>
      <c r="J36" s="138"/>
    </row>
    <row r="37" spans="1:11" x14ac:dyDescent="0.25">
      <c r="A37" s="107" t="s">
        <v>24</v>
      </c>
      <c r="B37" s="113"/>
      <c r="C37" s="109"/>
      <c r="D37" s="53"/>
      <c r="E37" s="110"/>
      <c r="F37" s="112"/>
      <c r="G37" s="51"/>
      <c r="H37" s="2"/>
      <c r="J37" s="138"/>
    </row>
    <row r="38" spans="1:11" x14ac:dyDescent="0.25">
      <c r="A38" s="107" t="s">
        <v>322</v>
      </c>
      <c r="B38" s="113"/>
      <c r="C38" s="109"/>
      <c r="D38" s="53"/>
      <c r="E38" s="110"/>
      <c r="F38" s="112"/>
      <c r="G38" s="51"/>
      <c r="H38" s="2"/>
      <c r="J38" s="138"/>
    </row>
    <row r="39" spans="1:11" x14ac:dyDescent="0.25">
      <c r="A39" s="349" t="s">
        <v>434</v>
      </c>
      <c r="B39" s="3"/>
      <c r="C39" s="11"/>
      <c r="D39" s="53"/>
      <c r="E39" s="110" t="s">
        <v>58</v>
      </c>
      <c r="F39" s="112"/>
      <c r="G39" s="51">
        <f t="shared" si="2"/>
        <v>0</v>
      </c>
      <c r="H39" s="2"/>
      <c r="J39" s="138"/>
    </row>
    <row r="40" spans="1:11" x14ac:dyDescent="0.25">
      <c r="A40" s="349" t="s">
        <v>435</v>
      </c>
      <c r="B40" s="3"/>
      <c r="C40" s="11"/>
      <c r="D40" s="53"/>
      <c r="E40" s="110" t="s">
        <v>58</v>
      </c>
      <c r="F40" s="112"/>
      <c r="G40" s="51">
        <f t="shared" si="2"/>
        <v>0</v>
      </c>
      <c r="H40" s="2"/>
      <c r="J40" s="138"/>
      <c r="K40" s="141"/>
    </row>
    <row r="41" spans="1:11" x14ac:dyDescent="0.25">
      <c r="A41" s="107" t="s">
        <v>116</v>
      </c>
      <c r="B41" s="3"/>
      <c r="C41" s="53">
        <f t="shared" ref="C41:C51" si="3">ROUND(CPI*D41,2)</f>
        <v>40.14</v>
      </c>
      <c r="D41" s="53">
        <v>28.04</v>
      </c>
      <c r="E41" s="110" t="s">
        <v>58</v>
      </c>
      <c r="F41" s="111"/>
      <c r="G41" s="51">
        <f t="shared" si="2"/>
        <v>0</v>
      </c>
      <c r="H41" s="2"/>
      <c r="J41" s="138"/>
      <c r="K41" s="141"/>
    </row>
    <row r="42" spans="1:11" x14ac:dyDescent="0.25">
      <c r="A42" s="107" t="s">
        <v>117</v>
      </c>
      <c r="B42" s="3"/>
      <c r="C42" s="53">
        <f t="shared" si="3"/>
        <v>79.489999999999995</v>
      </c>
      <c r="D42" s="53">
        <v>55.53</v>
      </c>
      <c r="E42" s="110" t="s">
        <v>58</v>
      </c>
      <c r="F42" s="111"/>
      <c r="G42" s="51">
        <f t="shared" si="2"/>
        <v>0</v>
      </c>
      <c r="H42" s="2"/>
      <c r="J42" s="138"/>
      <c r="K42" s="141"/>
    </row>
    <row r="43" spans="1:11" x14ac:dyDescent="0.25">
      <c r="A43" s="107" t="s">
        <v>118</v>
      </c>
      <c r="B43" s="3"/>
      <c r="C43" s="53">
        <f t="shared" si="3"/>
        <v>40.14</v>
      </c>
      <c r="D43" s="53">
        <v>28.04</v>
      </c>
      <c r="E43" s="110" t="s">
        <v>58</v>
      </c>
      <c r="F43" s="112"/>
      <c r="G43" s="51">
        <f t="shared" ref="G43:G51" si="4">B43*C43</f>
        <v>0</v>
      </c>
      <c r="H43" s="2"/>
      <c r="J43" s="138"/>
      <c r="K43" s="141"/>
    </row>
    <row r="44" spans="1:11" x14ac:dyDescent="0.25">
      <c r="A44" s="107" t="s">
        <v>119</v>
      </c>
      <c r="B44" s="3"/>
      <c r="C44" s="53">
        <f t="shared" si="3"/>
        <v>32.42</v>
      </c>
      <c r="D44" s="53">
        <v>22.65</v>
      </c>
      <c r="E44" s="110" t="s">
        <v>58</v>
      </c>
      <c r="F44" s="112"/>
      <c r="G44" s="51">
        <f t="shared" si="4"/>
        <v>0</v>
      </c>
      <c r="H44" s="2"/>
      <c r="J44" s="138"/>
      <c r="K44" s="141"/>
    </row>
    <row r="45" spans="1:11" x14ac:dyDescent="0.25">
      <c r="A45" s="107" t="s">
        <v>120</v>
      </c>
      <c r="B45" s="3"/>
      <c r="C45" s="53">
        <f t="shared" si="3"/>
        <v>873.49</v>
      </c>
      <c r="D45" s="53">
        <v>610.24</v>
      </c>
      <c r="E45" s="110" t="s">
        <v>58</v>
      </c>
      <c r="F45" s="112"/>
      <c r="G45" s="51">
        <f t="shared" si="4"/>
        <v>0</v>
      </c>
      <c r="H45" s="2"/>
      <c r="J45" s="138"/>
      <c r="K45" s="141"/>
    </row>
    <row r="46" spans="1:11" x14ac:dyDescent="0.25">
      <c r="A46" s="107" t="s">
        <v>121</v>
      </c>
      <c r="B46" s="3"/>
      <c r="C46" s="53">
        <f t="shared" si="3"/>
        <v>10.029999999999999</v>
      </c>
      <c r="D46" s="53">
        <v>7.01</v>
      </c>
      <c r="E46" s="110" t="s">
        <v>58</v>
      </c>
      <c r="F46" s="112"/>
      <c r="G46" s="51">
        <f t="shared" si="4"/>
        <v>0</v>
      </c>
      <c r="H46" s="2"/>
      <c r="J46" s="138"/>
      <c r="K46" s="141"/>
    </row>
    <row r="47" spans="1:11" x14ac:dyDescent="0.25">
      <c r="A47" s="107" t="s">
        <v>122</v>
      </c>
      <c r="B47" s="3"/>
      <c r="C47" s="53">
        <f t="shared" si="3"/>
        <v>17.75</v>
      </c>
      <c r="D47" s="53">
        <v>12.4</v>
      </c>
      <c r="E47" s="110" t="s">
        <v>58</v>
      </c>
      <c r="F47" s="112"/>
      <c r="G47" s="51">
        <f t="shared" si="4"/>
        <v>0</v>
      </c>
      <c r="H47" s="2"/>
      <c r="J47" s="138"/>
      <c r="K47" s="141"/>
    </row>
    <row r="48" spans="1:11" x14ac:dyDescent="0.25">
      <c r="A48" s="107" t="s">
        <v>251</v>
      </c>
      <c r="B48" s="3"/>
      <c r="C48" s="53">
        <f t="shared" si="3"/>
        <v>563.28</v>
      </c>
      <c r="D48" s="53">
        <v>393.52</v>
      </c>
      <c r="E48" s="110" t="s">
        <v>57</v>
      </c>
      <c r="F48" s="112"/>
      <c r="G48" s="51">
        <f t="shared" si="4"/>
        <v>0</v>
      </c>
      <c r="H48" s="2"/>
      <c r="J48" s="138"/>
    </row>
    <row r="49" spans="1:10" x14ac:dyDescent="0.25">
      <c r="A49" s="107" t="s">
        <v>336</v>
      </c>
      <c r="B49" s="3"/>
      <c r="C49" s="53">
        <f t="shared" si="3"/>
        <v>1128.1099999999999</v>
      </c>
      <c r="D49" s="53">
        <v>788.12</v>
      </c>
      <c r="E49" s="110" t="s">
        <v>57</v>
      </c>
      <c r="F49" s="112"/>
      <c r="G49" s="51">
        <f t="shared" si="4"/>
        <v>0</v>
      </c>
      <c r="H49" s="2"/>
      <c r="J49" s="138"/>
    </row>
    <row r="50" spans="1:10" x14ac:dyDescent="0.25">
      <c r="A50" s="350" t="s">
        <v>430</v>
      </c>
      <c r="B50" s="9"/>
      <c r="C50" s="53">
        <f t="shared" si="3"/>
        <v>10.15</v>
      </c>
      <c r="D50" s="351">
        <v>7.09</v>
      </c>
      <c r="E50" s="110" t="s">
        <v>431</v>
      </c>
      <c r="F50" s="112"/>
      <c r="G50" s="51">
        <f t="shared" si="4"/>
        <v>0</v>
      </c>
      <c r="H50" s="2"/>
    </row>
    <row r="51" spans="1:10" x14ac:dyDescent="0.25">
      <c r="A51" s="107" t="s">
        <v>432</v>
      </c>
      <c r="B51" s="3"/>
      <c r="C51" s="53">
        <f t="shared" si="3"/>
        <v>362.5</v>
      </c>
      <c r="D51" s="53">
        <v>253.25</v>
      </c>
      <c r="E51" s="110" t="s">
        <v>57</v>
      </c>
      <c r="F51" s="112"/>
      <c r="G51" s="51">
        <f t="shared" si="4"/>
        <v>0</v>
      </c>
      <c r="H51" s="2"/>
    </row>
    <row r="52" spans="1:10" x14ac:dyDescent="0.25">
      <c r="A52" s="550" t="s">
        <v>491</v>
      </c>
      <c r="B52" s="3"/>
      <c r="C52" s="11">
        <v>0</v>
      </c>
      <c r="D52" s="119"/>
      <c r="E52" s="110" t="s">
        <v>57</v>
      </c>
      <c r="F52" s="112"/>
      <c r="G52" s="51">
        <f t="shared" ref="G52" si="5">B52*C52</f>
        <v>0</v>
      </c>
      <c r="H52" s="2"/>
    </row>
    <row r="53" spans="1:10" ht="13" thickBot="1" x14ac:dyDescent="0.3">
      <c r="A53" s="2"/>
      <c r="B53" s="101"/>
      <c r="C53" s="100"/>
      <c r="D53" s="100"/>
      <c r="E53" s="100"/>
      <c r="F53" s="2"/>
      <c r="G53" s="2"/>
      <c r="H53" s="2"/>
    </row>
    <row r="54" spans="1:10" ht="13" thickBot="1" x14ac:dyDescent="0.3">
      <c r="A54" s="127" t="s">
        <v>316</v>
      </c>
      <c r="B54" s="7"/>
      <c r="C54" s="100"/>
      <c r="D54" s="100"/>
      <c r="E54" s="100"/>
      <c r="F54" s="127" t="s">
        <v>94</v>
      </c>
      <c r="G54" s="54">
        <f>SUM(G13:G52)</f>
        <v>0</v>
      </c>
      <c r="H54" s="2"/>
    </row>
    <row r="55" spans="1:10" x14ac:dyDescent="0.25">
      <c r="A55" s="127"/>
      <c r="B55"/>
      <c r="C55" s="100"/>
      <c r="D55" s="100"/>
      <c r="E55" s="100"/>
      <c r="F55" s="128" t="s">
        <v>317</v>
      </c>
      <c r="G55" s="55">
        <f>IF($B$54="Yes",0.05*G54,0)</f>
        <v>0</v>
      </c>
      <c r="H55" s="2"/>
    </row>
    <row r="56" spans="1:10" x14ac:dyDescent="0.25">
      <c r="A56" s="2"/>
      <c r="B56" s="101"/>
      <c r="C56" s="129"/>
      <c r="D56" s="129"/>
      <c r="E56" s="100"/>
      <c r="F56" s="127" t="s">
        <v>271</v>
      </c>
      <c r="G56" s="54">
        <f>0.15*(G54+G55)</f>
        <v>0</v>
      </c>
      <c r="H56" s="2"/>
    </row>
    <row r="57" spans="1:10" x14ac:dyDescent="0.25">
      <c r="A57" s="130"/>
      <c r="B57" s="101"/>
      <c r="C57" s="100"/>
      <c r="D57" s="100"/>
      <c r="E57" s="100"/>
      <c r="F57" s="127" t="s">
        <v>272</v>
      </c>
      <c r="G57" s="55">
        <f>0.12*(G54+G55+G56)</f>
        <v>0</v>
      </c>
      <c r="H57" s="2"/>
    </row>
    <row r="58" spans="1:10" x14ac:dyDescent="0.25">
      <c r="A58" s="2"/>
      <c r="B58" s="101"/>
      <c r="C58" s="100"/>
      <c r="D58" s="100"/>
      <c r="E58" s="100"/>
      <c r="F58" s="127" t="s">
        <v>276</v>
      </c>
      <c r="G58" s="54">
        <f>SUM(G54:G57)</f>
        <v>0</v>
      </c>
      <c r="H58" s="2"/>
    </row>
    <row r="59" spans="1:10" ht="13" thickBot="1" x14ac:dyDescent="0.3">
      <c r="A59" s="2"/>
      <c r="B59" s="101"/>
      <c r="C59" s="100"/>
      <c r="D59" s="100"/>
      <c r="E59" s="100"/>
      <c r="F59" s="127" t="s">
        <v>96</v>
      </c>
      <c r="G59" s="62">
        <f>IF(G54&gt;1,IF((G54+G56)&lt;601,$C$74,IF((G54+G56)&lt;1001,$C$75,IF((G54+G56)&lt;1501,$C$76,IF((G54+G56)&lt;2001,$C$77,IF((G54+G56)&lt;2501,$C$78,IF((G54+G56)&lt;3001,$C$79,IF((G54+G56)&lt;3501,$C$80,IF((G54+G56)&lt;4001,$C$81,IF((G54+G56)&lt;4501,$C$82,IF((G54+G56)&lt;5001,$C$83,IF((G54+G56)&lt;6001,$C$84,IF((G54+G56)&lt;7001,$C$85,IF((G54+G56)&lt;8001,$C$86,IF((G54+G56)&lt;9001,$C$87,IF((G54+G56)&lt;10001,$C$88,IF((G54+G56)&lt;50001,$C$88+(((G54+G56)-10000)/1000)*$F$90,IF((G54+G56)&lt;100001,$C$88+((50000-10000)/1000)*$F$90+(((G54+G56)-50000)/1000)*$F$95,$C$88+((50000-10000)/1000)*$F$90+((100000-50000)/1000)*$F$95+(((G54+G56)-100000)/1000)*$F$98))))))))))))))))),0)</f>
        <v>0</v>
      </c>
      <c r="H59" s="2"/>
    </row>
    <row r="60" spans="1:10" ht="13.5" thickBot="1" x14ac:dyDescent="0.35">
      <c r="A60" s="2"/>
      <c r="B60" s="101"/>
      <c r="C60" s="100"/>
      <c r="D60" s="100"/>
      <c r="E60" s="100"/>
      <c r="F60" s="131" t="s">
        <v>277</v>
      </c>
      <c r="G60" s="56">
        <f>IF(G54&gt;1,(ROUNDUP(G58+G59,-2)),0)</f>
        <v>0</v>
      </c>
      <c r="H60" s="2"/>
    </row>
    <row r="61" spans="1:10" x14ac:dyDescent="0.25">
      <c r="A61" s="2"/>
      <c r="B61" s="101"/>
      <c r="C61" s="100"/>
      <c r="D61" s="100"/>
      <c r="E61" s="132"/>
      <c r="F61" s="2"/>
      <c r="G61" s="133" t="s">
        <v>250</v>
      </c>
      <c r="H61" s="2"/>
    </row>
    <row r="62" spans="1:10" x14ac:dyDescent="0.25">
      <c r="A62" s="134"/>
      <c r="B62" s="135"/>
      <c r="C62" s="136"/>
      <c r="D62" s="136"/>
      <c r="E62" s="136"/>
      <c r="F62" s="122"/>
      <c r="G62" s="123"/>
      <c r="H62" s="2"/>
    </row>
    <row r="63" spans="1:10" ht="13" x14ac:dyDescent="0.3">
      <c r="A63" s="137" t="s">
        <v>98</v>
      </c>
      <c r="B63" s="101"/>
      <c r="C63" s="138"/>
      <c r="D63" s="138"/>
      <c r="E63" s="138"/>
      <c r="F63" s="2"/>
      <c r="G63" s="139"/>
      <c r="H63" s="2"/>
    </row>
    <row r="64" spans="1:10" x14ac:dyDescent="0.25">
      <c r="A64" s="140"/>
      <c r="B64" s="101"/>
      <c r="C64" s="138"/>
      <c r="D64" s="138"/>
      <c r="E64" s="138"/>
      <c r="F64" s="2"/>
      <c r="G64" s="139"/>
      <c r="H64" s="2"/>
    </row>
    <row r="65" spans="1:8" ht="13" thickBot="1" x14ac:dyDescent="0.3">
      <c r="A65" s="140"/>
      <c r="B65" s="101"/>
      <c r="C65" s="138"/>
      <c r="D65" s="138"/>
      <c r="E65" s="127" t="s">
        <v>318</v>
      </c>
      <c r="F65" s="63">
        <f>G58-G57-G55</f>
        <v>0</v>
      </c>
      <c r="G65" s="139"/>
      <c r="H65" s="2"/>
    </row>
    <row r="66" spans="1:8" ht="13.5" thickBot="1" x14ac:dyDescent="0.35">
      <c r="A66" s="140"/>
      <c r="B66" s="101"/>
      <c r="C66" s="138"/>
      <c r="D66" s="138"/>
      <c r="E66" s="142" t="s">
        <v>275</v>
      </c>
      <c r="F66" s="64">
        <f>ROUND(IF(F65&gt;1,(IF(F65&lt;G114,B113,IF(F65&lt;G115,B114+E114*(F65-G114),B115+E115*(F65-G115)))),0),0)</f>
        <v>0</v>
      </c>
      <c r="G66" s="139"/>
      <c r="H66" s="2"/>
    </row>
    <row r="67" spans="1:8" x14ac:dyDescent="0.25">
      <c r="A67" s="140"/>
      <c r="B67" s="101"/>
      <c r="C67" s="138"/>
      <c r="D67" s="138"/>
      <c r="E67" s="138"/>
      <c r="F67" s="2"/>
      <c r="G67" s="139"/>
      <c r="H67" s="2"/>
    </row>
    <row r="68" spans="1:8" x14ac:dyDescent="0.25">
      <c r="A68" s="143"/>
      <c r="B68" s="144"/>
      <c r="C68" s="145"/>
      <c r="D68" s="145"/>
      <c r="E68" s="145"/>
      <c r="F68" s="146"/>
      <c r="G68" s="147"/>
      <c r="H68" s="2"/>
    </row>
    <row r="69" spans="1:8" x14ac:dyDescent="0.25">
      <c r="A69" s="2"/>
      <c r="B69" s="101"/>
      <c r="C69" s="156"/>
      <c r="D69" s="156"/>
      <c r="E69" s="156"/>
      <c r="F69" s="2"/>
      <c r="G69" s="2"/>
      <c r="H69" s="2"/>
    </row>
    <row r="70" spans="1:8" ht="13" thickBot="1" x14ac:dyDescent="0.3">
      <c r="A70" s="2"/>
      <c r="B70" s="101"/>
      <c r="C70" s="156"/>
      <c r="D70" s="156"/>
      <c r="E70" s="156"/>
      <c r="F70" s="2"/>
      <c r="G70" s="2"/>
      <c r="H70" s="2"/>
    </row>
    <row r="71" spans="1:8" ht="13" thickBot="1" x14ac:dyDescent="0.3">
      <c r="A71" s="527" t="s">
        <v>243</v>
      </c>
      <c r="B71" s="528"/>
      <c r="C71" s="528"/>
      <c r="D71" s="528"/>
      <c r="E71" s="528"/>
      <c r="F71" s="528"/>
      <c r="G71" s="529"/>
      <c r="H71" s="2"/>
    </row>
    <row r="72" spans="1:8" x14ac:dyDescent="0.25">
      <c r="A72" s="152" t="s">
        <v>534</v>
      </c>
      <c r="B72" s="101"/>
      <c r="C72" s="153" t="s">
        <v>97</v>
      </c>
      <c r="D72" s="153"/>
      <c r="E72" s="156"/>
      <c r="F72" s="263"/>
      <c r="G72" s="154"/>
      <c r="H72" s="2"/>
    </row>
    <row r="73" spans="1:8" x14ac:dyDescent="0.25">
      <c r="A73" s="152"/>
      <c r="B73" s="101"/>
      <c r="C73" s="156"/>
      <c r="D73" s="156"/>
      <c r="E73" s="156"/>
      <c r="F73" s="2"/>
      <c r="G73" s="154"/>
      <c r="H73" s="2"/>
    </row>
    <row r="74" spans="1:8" x14ac:dyDescent="0.25">
      <c r="A74" s="180" t="s">
        <v>183</v>
      </c>
      <c r="B74" s="352"/>
      <c r="C74" s="157">
        <v>125</v>
      </c>
      <c r="D74" s="157"/>
      <c r="E74" s="156"/>
      <c r="F74" s="2"/>
      <c r="G74" s="154"/>
      <c r="H74" s="2"/>
    </row>
    <row r="75" spans="1:8" x14ac:dyDescent="0.25">
      <c r="A75" s="180" t="s">
        <v>184</v>
      </c>
      <c r="B75" s="352"/>
      <c r="C75" s="156">
        <v>238</v>
      </c>
      <c r="D75" s="156"/>
      <c r="E75" s="156"/>
      <c r="F75" s="2"/>
      <c r="G75" s="154"/>
      <c r="H75" s="2"/>
    </row>
    <row r="76" spans="1:8" x14ac:dyDescent="0.25">
      <c r="A76" s="180" t="s">
        <v>185</v>
      </c>
      <c r="B76" s="352"/>
      <c r="C76" s="156">
        <v>382</v>
      </c>
      <c r="D76" s="156"/>
      <c r="E76" s="156"/>
      <c r="F76" s="2"/>
      <c r="G76" s="154"/>
      <c r="H76" s="2"/>
    </row>
    <row r="77" spans="1:8" x14ac:dyDescent="0.25">
      <c r="A77" s="180" t="s">
        <v>278</v>
      </c>
      <c r="B77" s="352"/>
      <c r="C77" s="156">
        <v>535</v>
      </c>
      <c r="D77" s="156"/>
      <c r="E77" s="156"/>
      <c r="F77" s="2"/>
      <c r="G77" s="154"/>
      <c r="H77" s="2"/>
    </row>
    <row r="78" spans="1:8" x14ac:dyDescent="0.25">
      <c r="A78" s="180" t="s">
        <v>186</v>
      </c>
      <c r="B78" s="352"/>
      <c r="C78" s="156">
        <v>680</v>
      </c>
      <c r="D78" s="156"/>
      <c r="E78" s="156"/>
      <c r="F78" s="2"/>
      <c r="G78" s="154"/>
      <c r="H78" s="2"/>
    </row>
    <row r="79" spans="1:8" x14ac:dyDescent="0.25">
      <c r="A79" s="180" t="s">
        <v>187</v>
      </c>
      <c r="B79" s="352"/>
      <c r="C79" s="156">
        <v>808</v>
      </c>
      <c r="D79" s="156"/>
      <c r="E79" s="156"/>
      <c r="F79" s="2"/>
      <c r="G79" s="154"/>
      <c r="H79" s="2"/>
    </row>
    <row r="80" spans="1:8" x14ac:dyDescent="0.25">
      <c r="A80" s="180" t="s">
        <v>188</v>
      </c>
      <c r="B80" s="352"/>
      <c r="C80" s="156">
        <v>944</v>
      </c>
      <c r="D80" s="156"/>
      <c r="E80" s="156"/>
      <c r="F80" s="2"/>
      <c r="G80" s="154"/>
      <c r="H80" s="2"/>
    </row>
    <row r="81" spans="1:8" x14ac:dyDescent="0.25">
      <c r="A81" s="180" t="s">
        <v>189</v>
      </c>
      <c r="B81" s="352"/>
      <c r="C81" s="156">
        <v>1078</v>
      </c>
      <c r="D81" s="156"/>
      <c r="E81" s="156"/>
      <c r="F81" s="2"/>
      <c r="G81" s="154"/>
      <c r="H81" s="2"/>
    </row>
    <row r="82" spans="1:8" x14ac:dyDescent="0.25">
      <c r="A82" s="180" t="s">
        <v>190</v>
      </c>
      <c r="B82" s="352"/>
      <c r="C82" s="156">
        <v>1212</v>
      </c>
      <c r="D82" s="156"/>
      <c r="E82" s="156"/>
      <c r="F82" s="2"/>
      <c r="G82" s="154"/>
      <c r="H82" s="2"/>
    </row>
    <row r="83" spans="1:8" x14ac:dyDescent="0.25">
      <c r="A83" s="180" t="s">
        <v>191</v>
      </c>
      <c r="B83" s="352"/>
      <c r="C83" s="156">
        <v>1326</v>
      </c>
      <c r="D83" s="156"/>
      <c r="E83" s="156"/>
      <c r="F83" s="2"/>
      <c r="G83" s="154"/>
      <c r="H83" s="2"/>
    </row>
    <row r="84" spans="1:8" x14ac:dyDescent="0.25">
      <c r="A84" s="180" t="s">
        <v>192</v>
      </c>
      <c r="B84" s="352"/>
      <c r="C84" s="156">
        <v>1558</v>
      </c>
      <c r="D84" s="156"/>
      <c r="E84" s="156"/>
      <c r="F84" s="2"/>
      <c r="G84" s="154"/>
      <c r="H84" s="2"/>
    </row>
    <row r="85" spans="1:8" x14ac:dyDescent="0.25">
      <c r="A85" s="180" t="s">
        <v>193</v>
      </c>
      <c r="B85" s="352"/>
      <c r="C85" s="156">
        <v>1761</v>
      </c>
      <c r="D85" s="156"/>
      <c r="E85" s="156"/>
      <c r="F85" s="2"/>
      <c r="G85" s="154"/>
      <c r="H85" s="2"/>
    </row>
    <row r="86" spans="1:8" x14ac:dyDescent="0.25">
      <c r="A86" s="180" t="s">
        <v>194</v>
      </c>
      <c r="B86" s="352"/>
      <c r="C86" s="156">
        <v>1948</v>
      </c>
      <c r="D86" s="156"/>
      <c r="E86" s="156"/>
      <c r="F86" s="2"/>
      <c r="G86" s="154"/>
      <c r="H86" s="2"/>
    </row>
    <row r="87" spans="1:8" x14ac:dyDescent="0.25">
      <c r="A87" s="180" t="s">
        <v>195</v>
      </c>
      <c r="B87" s="352"/>
      <c r="C87" s="156">
        <v>2125</v>
      </c>
      <c r="D87" s="156"/>
      <c r="E87" s="156"/>
      <c r="F87" s="2"/>
      <c r="G87" s="154"/>
      <c r="H87" s="2"/>
    </row>
    <row r="88" spans="1:8" x14ac:dyDescent="0.25">
      <c r="A88" s="180" t="s">
        <v>339</v>
      </c>
      <c r="B88" s="352"/>
      <c r="C88" s="158">
        <v>2287</v>
      </c>
      <c r="D88" s="158"/>
      <c r="E88" s="156"/>
      <c r="F88" s="2"/>
      <c r="G88" s="154"/>
      <c r="H88" s="2"/>
    </row>
    <row r="89" spans="1:8" x14ac:dyDescent="0.25">
      <c r="A89" s="353"/>
      <c r="B89" s="352"/>
      <c r="C89" s="156"/>
      <c r="D89" s="156"/>
      <c r="E89" s="156"/>
      <c r="F89" s="2"/>
      <c r="G89" s="154"/>
      <c r="H89" s="2"/>
    </row>
    <row r="90" spans="1:8" ht="12.75" customHeight="1" x14ac:dyDescent="0.25">
      <c r="A90" s="521" t="s">
        <v>242</v>
      </c>
      <c r="B90" s="522"/>
      <c r="C90" s="522"/>
      <c r="D90" s="522"/>
      <c r="E90" s="522"/>
      <c r="F90" s="345">
        <v>163</v>
      </c>
      <c r="G90" s="354"/>
      <c r="H90" s="115"/>
    </row>
    <row r="91" spans="1:8" ht="12.75" customHeight="1" x14ac:dyDescent="0.25">
      <c r="A91" s="523"/>
      <c r="B91" s="522"/>
      <c r="C91" s="522"/>
      <c r="D91" s="522"/>
      <c r="E91" s="522"/>
      <c r="G91" s="354"/>
      <c r="H91" s="115"/>
    </row>
    <row r="92" spans="1:8" ht="12.15" customHeight="1" x14ac:dyDescent="0.25">
      <c r="A92" s="523"/>
      <c r="B92" s="522"/>
      <c r="C92" s="522"/>
      <c r="D92" s="522"/>
      <c r="E92" s="522"/>
      <c r="F92" s="115"/>
      <c r="G92" s="354"/>
      <c r="H92" s="115"/>
    </row>
    <row r="93" spans="1:8" ht="1.5" hidden="1" customHeight="1" x14ac:dyDescent="0.25">
      <c r="A93" s="523"/>
      <c r="B93" s="522"/>
      <c r="C93" s="522"/>
      <c r="D93" s="522"/>
      <c r="E93" s="522"/>
      <c r="F93" s="2"/>
      <c r="G93" s="354"/>
      <c r="H93" s="115"/>
    </row>
    <row r="94" spans="1:8" x14ac:dyDescent="0.25">
      <c r="A94" s="521" t="s">
        <v>125</v>
      </c>
      <c r="B94" s="525"/>
      <c r="C94" s="525"/>
      <c r="D94" s="525"/>
      <c r="E94" s="525"/>
      <c r="F94" s="115"/>
      <c r="G94" s="354"/>
      <c r="H94" s="115"/>
    </row>
    <row r="95" spans="1:8" x14ac:dyDescent="0.25">
      <c r="A95" s="526"/>
      <c r="B95" s="525"/>
      <c r="C95" s="525"/>
      <c r="D95" s="525"/>
      <c r="E95" s="525"/>
      <c r="F95" s="345">
        <v>125</v>
      </c>
      <c r="G95" s="354"/>
      <c r="H95" s="115"/>
    </row>
    <row r="96" spans="1:8" ht="21.15" customHeight="1" x14ac:dyDescent="0.25">
      <c r="A96" s="526"/>
      <c r="B96" s="525"/>
      <c r="C96" s="525"/>
      <c r="D96" s="525"/>
      <c r="E96" s="525"/>
      <c r="F96" s="115"/>
      <c r="G96" s="354"/>
      <c r="H96" s="115"/>
    </row>
    <row r="97" spans="1:8" x14ac:dyDescent="0.25">
      <c r="A97" s="521" t="s">
        <v>126</v>
      </c>
      <c r="B97" s="522"/>
      <c r="C97" s="522"/>
      <c r="D97" s="522"/>
      <c r="E97" s="522"/>
      <c r="F97" s="115"/>
      <c r="G97" s="354"/>
      <c r="H97" s="115"/>
    </row>
    <row r="98" spans="1:8" x14ac:dyDescent="0.25">
      <c r="A98" s="523"/>
      <c r="B98" s="522"/>
      <c r="C98" s="522"/>
      <c r="D98" s="522"/>
      <c r="E98" s="522"/>
      <c r="F98" s="345">
        <v>97</v>
      </c>
      <c r="G98" s="354"/>
      <c r="H98" s="115"/>
    </row>
    <row r="99" spans="1:8" x14ac:dyDescent="0.25">
      <c r="A99" s="523"/>
      <c r="B99" s="522"/>
      <c r="C99" s="522"/>
      <c r="D99" s="522"/>
      <c r="E99" s="522"/>
      <c r="F99" s="115"/>
      <c r="G99" s="354"/>
      <c r="H99" s="115"/>
    </row>
    <row r="100" spans="1:8" x14ac:dyDescent="0.25">
      <c r="A100" s="524" t="s">
        <v>581</v>
      </c>
      <c r="B100" s="522"/>
      <c r="C100" s="522"/>
      <c r="D100" s="522"/>
      <c r="E100" s="522"/>
      <c r="F100" s="115"/>
      <c r="G100" s="354"/>
      <c r="H100" s="115"/>
    </row>
    <row r="101" spans="1:8" x14ac:dyDescent="0.25">
      <c r="A101" s="523"/>
      <c r="B101" s="522"/>
      <c r="C101" s="522"/>
      <c r="D101" s="522"/>
      <c r="E101" s="522"/>
      <c r="F101" s="115"/>
      <c r="G101" s="354"/>
      <c r="H101" s="115"/>
    </row>
    <row r="102" spans="1:8" x14ac:dyDescent="0.25">
      <c r="A102" s="523"/>
      <c r="B102" s="522"/>
      <c r="C102" s="522"/>
      <c r="D102" s="522"/>
      <c r="E102" s="522"/>
      <c r="F102" s="115"/>
      <c r="G102" s="354"/>
      <c r="H102" s="115"/>
    </row>
    <row r="103" spans="1:8" x14ac:dyDescent="0.25">
      <c r="A103" s="523"/>
      <c r="B103" s="522"/>
      <c r="C103" s="522"/>
      <c r="D103" s="522"/>
      <c r="E103" s="522"/>
      <c r="F103" s="115"/>
      <c r="G103" s="354"/>
      <c r="H103" s="115"/>
    </row>
    <row r="104" spans="1:8" x14ac:dyDescent="0.25">
      <c r="A104" s="523"/>
      <c r="B104" s="522"/>
      <c r="C104" s="522"/>
      <c r="D104" s="522"/>
      <c r="E104" s="522"/>
      <c r="F104" s="355"/>
      <c r="G104" s="154"/>
      <c r="H104" s="2"/>
    </row>
    <row r="105" spans="1:8" ht="13" thickBot="1" x14ac:dyDescent="0.3">
      <c r="A105" s="356"/>
      <c r="B105" s="357"/>
      <c r="C105" s="177"/>
      <c r="D105" s="177"/>
      <c r="E105" s="160"/>
      <c r="F105" s="358"/>
      <c r="G105" s="280"/>
      <c r="H105" s="2"/>
    </row>
    <row r="106" spans="1:8" ht="15.5" x14ac:dyDescent="0.25">
      <c r="A106" s="164" t="s">
        <v>245</v>
      </c>
      <c r="B106" s="101"/>
      <c r="C106" s="163"/>
      <c r="D106" s="163"/>
      <c r="E106" s="163"/>
      <c r="F106" s="2"/>
      <c r="G106" s="2"/>
      <c r="H106" s="2"/>
    </row>
    <row r="107" spans="1:8" ht="15.5" x14ac:dyDescent="0.25">
      <c r="A107" s="164" t="s">
        <v>338</v>
      </c>
      <c r="B107" s="101"/>
      <c r="C107" s="163"/>
      <c r="D107" s="163"/>
      <c r="E107" s="163"/>
      <c r="F107" s="2"/>
      <c r="G107" s="2"/>
      <c r="H107" s="2"/>
    </row>
    <row r="108" spans="1:8" x14ac:dyDescent="0.25">
      <c r="A108" s="2"/>
      <c r="B108" s="101"/>
      <c r="C108" s="163"/>
      <c r="D108" s="163"/>
      <c r="E108" s="163"/>
      <c r="F108" s="2"/>
      <c r="G108" s="2"/>
      <c r="H108" s="2"/>
    </row>
    <row r="109" spans="1:8" ht="13" thickBot="1" x14ac:dyDescent="0.3">
      <c r="A109" s="2"/>
      <c r="B109" s="101"/>
      <c r="C109" s="163"/>
      <c r="D109" s="163"/>
      <c r="E109" s="163"/>
      <c r="F109" s="2"/>
      <c r="G109" s="2"/>
      <c r="H109" s="2"/>
    </row>
    <row r="110" spans="1:8" ht="13" thickBot="1" x14ac:dyDescent="0.3">
      <c r="A110" s="148"/>
      <c r="B110" s="149" t="s">
        <v>95</v>
      </c>
      <c r="C110" s="165"/>
      <c r="D110" s="165"/>
      <c r="E110" s="165"/>
      <c r="F110" s="165"/>
      <c r="G110" s="151"/>
      <c r="H110" s="2"/>
    </row>
    <row r="111" spans="1:8" x14ac:dyDescent="0.25">
      <c r="A111" s="152" t="s">
        <v>323</v>
      </c>
      <c r="B111" s="101"/>
      <c r="C111" s="153" t="s">
        <v>324</v>
      </c>
      <c r="D111" s="153"/>
      <c r="E111" s="153"/>
      <c r="F111" s="156"/>
      <c r="G111" s="154"/>
      <c r="H111" s="2"/>
    </row>
    <row r="112" spans="1:8" x14ac:dyDescent="0.25">
      <c r="A112" s="152"/>
      <c r="B112" s="101"/>
      <c r="C112" s="156"/>
      <c r="D112" s="156"/>
      <c r="E112" s="156"/>
      <c r="F112" s="156"/>
      <c r="G112" s="154"/>
      <c r="H112" s="2"/>
    </row>
    <row r="113" spans="1:8" x14ac:dyDescent="0.25">
      <c r="A113" s="180" t="s">
        <v>182</v>
      </c>
      <c r="B113" s="347">
        <v>2029</v>
      </c>
      <c r="C113" s="156"/>
      <c r="D113" s="156"/>
      <c r="E113" s="156"/>
      <c r="F113" s="156"/>
      <c r="G113" s="154"/>
      <c r="H113" s="2"/>
    </row>
    <row r="114" spans="1:8" x14ac:dyDescent="0.25">
      <c r="A114" s="180" t="s">
        <v>196</v>
      </c>
      <c r="B114" s="347">
        <v>2029</v>
      </c>
      <c r="C114" s="157" t="s">
        <v>244</v>
      </c>
      <c r="D114" s="157"/>
      <c r="E114" s="175">
        <v>0.18310000000000001</v>
      </c>
      <c r="F114" s="158" t="s">
        <v>207</v>
      </c>
      <c r="G114" s="176">
        <v>5000</v>
      </c>
      <c r="H114" s="2"/>
    </row>
    <row r="115" spans="1:8" ht="13" thickBot="1" x14ac:dyDescent="0.3">
      <c r="A115" s="184" t="s">
        <v>181</v>
      </c>
      <c r="B115" s="348">
        <v>4776</v>
      </c>
      <c r="C115" s="160" t="s">
        <v>244</v>
      </c>
      <c r="D115" s="160"/>
      <c r="E115" s="178">
        <v>0.15049999999999999</v>
      </c>
      <c r="F115" s="161" t="s">
        <v>207</v>
      </c>
      <c r="G115" s="187">
        <v>20000</v>
      </c>
      <c r="H115" s="2"/>
    </row>
    <row r="116" spans="1:8" x14ac:dyDescent="0.25">
      <c r="A116" s="2"/>
      <c r="B116" s="101"/>
      <c r="C116" s="163"/>
      <c r="D116" s="163"/>
      <c r="E116" s="163"/>
      <c r="F116" s="2"/>
      <c r="G116" s="2"/>
      <c r="H116" s="2"/>
    </row>
    <row r="117" spans="1:8" x14ac:dyDescent="0.25">
      <c r="A117" s="79" t="s">
        <v>578</v>
      </c>
      <c r="B117" s="101"/>
      <c r="C117" s="156"/>
      <c r="D117" s="156"/>
      <c r="E117" s="156"/>
      <c r="F117" s="2"/>
      <c r="G117" s="2"/>
      <c r="H117" s="2"/>
    </row>
    <row r="118" spans="1:8" x14ac:dyDescent="0.25">
      <c r="A118" s="188" t="s">
        <v>579</v>
      </c>
      <c r="C118" s="271"/>
      <c r="D118" s="271"/>
      <c r="E118" s="271"/>
    </row>
    <row r="119" spans="1:8" x14ac:dyDescent="0.25">
      <c r="A119" s="417" t="s">
        <v>580</v>
      </c>
      <c r="C119" s="271"/>
      <c r="D119" s="271"/>
      <c r="E119" s="271"/>
    </row>
    <row r="120" spans="1:8" x14ac:dyDescent="0.25">
      <c r="C120" s="271"/>
      <c r="D120" s="271"/>
      <c r="E120" s="271"/>
    </row>
    <row r="121" spans="1:8" x14ac:dyDescent="0.25">
      <c r="C121" s="359"/>
      <c r="D121" s="359"/>
      <c r="E121" s="359"/>
    </row>
  </sheetData>
  <sheetProtection algorithmName="SHA-512" hashValue="Vl0iUJp+Dcjalr8k+ChJLLzlpBbKfGE1l3JyRA9M0Uw44RTfiVzQ8ONYRqz62I3/u/+Q+NsWfGg9rlWAyYjaoA==" saltValue="AI53Qc/Eft/K7abs2i8/0A==" spinCount="100000" sheet="1" insertRows="0" selectLockedCells="1"/>
  <customSheetViews>
    <customSheetView guid="{0CFDFAE3-BA5A-49B1-8AEF-ACE06B5A41A2}" hiddenRows="1">
      <rowBreaks count="1" manualBreakCount="1">
        <brk id="60" max="5" man="1"/>
      </rowBreaks>
      <pageMargins left="0" right="0" top="0.51" bottom="0.4" header="0.23" footer="0.17"/>
      <printOptions horizontalCentered="1"/>
      <pageSetup scale="95" orientation="portrait" r:id="rId1"/>
      <headerFooter alignWithMargins="0">
        <oddFooter>&amp;LFees Effective 07/01/2011&amp;RPage &amp;P of &amp;N</oddFooter>
      </headerFooter>
    </customSheetView>
  </customSheetViews>
  <mergeCells count="7">
    <mergeCell ref="A97:E99"/>
    <mergeCell ref="A100:E104"/>
    <mergeCell ref="C12:F12"/>
    <mergeCell ref="C13:E13"/>
    <mergeCell ref="A90:E93"/>
    <mergeCell ref="A94:E96"/>
    <mergeCell ref="A71:G71"/>
  </mergeCells>
  <phoneticPr fontId="0" type="noConversion"/>
  <dataValidations disablePrompts="1" count="1">
    <dataValidation type="list" allowBlank="1" showInputMessage="1" showErrorMessage="1" sqref="B54" xr:uid="{00000000-0002-0000-0500-000000000000}">
      <formula1>"Yes,No"</formula1>
    </dataValidation>
  </dataValidations>
  <printOptions horizontalCentered="1"/>
  <pageMargins left="0" right="0" top="0.51" bottom="0.4" header="0.23" footer="0.17"/>
  <pageSetup scale="95" orientation="portrait" r:id="rId2"/>
  <headerFooter alignWithMargins="0">
    <oddFooter>&amp;LFees Effective 07/01/2025&amp;RPage &amp;P of &amp;N</oddFooter>
  </headerFooter>
  <rowBreaks count="1" manualBreakCount="1">
    <brk id="61" max="5"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55"/>
  <sheetViews>
    <sheetView zoomScaleNormal="100" zoomScaleSheetLayoutView="100" workbookViewId="0">
      <selection activeCell="B16" sqref="B16"/>
    </sheetView>
  </sheetViews>
  <sheetFormatPr defaultColWidth="9.08984375" defaultRowHeight="12.5" x14ac:dyDescent="0.25"/>
  <cols>
    <col min="1" max="1" width="47.6328125" customWidth="1"/>
    <col min="2" max="2" width="12" style="172" bestFit="1" customWidth="1"/>
    <col min="3" max="3" width="12.54296875" style="174" customWidth="1"/>
    <col min="4" max="4" width="12.54296875" style="174" hidden="1" customWidth="1"/>
    <col min="5" max="5" width="7.36328125" style="174" customWidth="1"/>
    <col min="6" max="6" width="15.08984375" customWidth="1"/>
    <col min="7" max="7" width="14.08984375" customWidth="1"/>
    <col min="10" max="10" width="11.36328125" bestFit="1" customWidth="1"/>
  </cols>
  <sheetData>
    <row r="1" spans="1:10" ht="13" x14ac:dyDescent="0.3">
      <c r="A1" s="2"/>
      <c r="B1" s="99"/>
      <c r="C1" s="100"/>
      <c r="D1" s="100"/>
      <c r="E1" s="100"/>
      <c r="F1" s="2"/>
      <c r="G1" s="2"/>
      <c r="H1" s="2"/>
    </row>
    <row r="2" spans="1:10" ht="13" x14ac:dyDescent="0.3">
      <c r="A2" s="2"/>
      <c r="B2" s="99"/>
      <c r="C2" s="100"/>
      <c r="D2" s="100"/>
      <c r="E2" s="100"/>
      <c r="F2" s="2"/>
      <c r="G2" s="2"/>
      <c r="H2" s="2"/>
    </row>
    <row r="3" spans="1:10" x14ac:dyDescent="0.25">
      <c r="A3" s="2"/>
      <c r="B3" s="101"/>
      <c r="C3" s="100"/>
      <c r="D3" s="100"/>
      <c r="E3" s="100"/>
      <c r="F3" s="2"/>
      <c r="G3" s="2"/>
      <c r="H3" s="2"/>
    </row>
    <row r="4" spans="1:10" x14ac:dyDescent="0.25">
      <c r="A4" s="2"/>
      <c r="B4" s="101"/>
      <c r="C4" s="100"/>
      <c r="D4" s="100"/>
      <c r="E4" s="100"/>
      <c r="F4" s="2"/>
      <c r="G4" s="2"/>
      <c r="H4" s="2"/>
    </row>
    <row r="5" spans="1:10" x14ac:dyDescent="0.25">
      <c r="A5" s="2"/>
      <c r="B5" s="101"/>
      <c r="C5" s="100"/>
      <c r="D5" s="100"/>
      <c r="E5" s="100"/>
      <c r="F5" s="2"/>
      <c r="G5" s="2"/>
      <c r="H5" s="2"/>
    </row>
    <row r="6" spans="1:10" x14ac:dyDescent="0.25">
      <c r="A6" s="2"/>
      <c r="B6" s="101"/>
      <c r="C6" s="100"/>
      <c r="D6" s="100"/>
      <c r="E6" s="100"/>
      <c r="F6" s="2"/>
      <c r="G6" s="2"/>
      <c r="H6" s="2"/>
    </row>
    <row r="7" spans="1:10" x14ac:dyDescent="0.25">
      <c r="A7" s="2"/>
      <c r="B7" s="101"/>
      <c r="C7" s="100"/>
      <c r="D7" s="100"/>
      <c r="E7" s="100"/>
      <c r="F7" s="2"/>
      <c r="G7" s="2"/>
      <c r="H7" s="2"/>
    </row>
    <row r="8" spans="1:10" x14ac:dyDescent="0.25">
      <c r="A8" s="2"/>
      <c r="B8" s="101"/>
      <c r="C8" s="100"/>
      <c r="D8" s="100"/>
      <c r="E8" s="100"/>
      <c r="F8" s="2"/>
      <c r="G8" s="2"/>
      <c r="H8" s="2"/>
    </row>
    <row r="9" spans="1:10" x14ac:dyDescent="0.25">
      <c r="A9" s="2"/>
      <c r="B9" s="101"/>
      <c r="C9" s="100"/>
      <c r="D9" s="100"/>
      <c r="E9" s="100"/>
      <c r="F9" s="2"/>
      <c r="G9" s="2"/>
      <c r="H9" s="2"/>
    </row>
    <row r="10" spans="1:10" x14ac:dyDescent="0.25">
      <c r="A10" s="2"/>
      <c r="B10" s="101"/>
      <c r="C10" s="100"/>
      <c r="D10" s="100"/>
      <c r="E10" s="100"/>
      <c r="F10" s="2"/>
      <c r="G10" s="2"/>
      <c r="H10" s="2"/>
    </row>
    <row r="11" spans="1:10" x14ac:dyDescent="0.25">
      <c r="A11" s="2"/>
      <c r="B11" s="101"/>
      <c r="C11" s="100"/>
      <c r="D11" s="100"/>
      <c r="E11" s="100"/>
      <c r="F11" s="2"/>
      <c r="G11" s="2"/>
      <c r="H11" s="2"/>
    </row>
    <row r="12" spans="1:10" ht="13" thickBot="1" x14ac:dyDescent="0.3">
      <c r="A12" s="2"/>
      <c r="B12" s="101"/>
      <c r="C12" s="100"/>
      <c r="D12" s="100"/>
      <c r="E12" s="100"/>
      <c r="F12" s="2"/>
      <c r="G12" s="2"/>
      <c r="H12" s="2"/>
    </row>
    <row r="13" spans="1:10" ht="13.5" thickBot="1" x14ac:dyDescent="0.35">
      <c r="A13" s="102" t="s">
        <v>0</v>
      </c>
      <c r="B13" s="103" t="s">
        <v>1</v>
      </c>
      <c r="C13" s="518" t="s">
        <v>131</v>
      </c>
      <c r="D13" s="519"/>
      <c r="E13" s="519"/>
      <c r="F13" s="520"/>
      <c r="G13" s="102" t="s">
        <v>3</v>
      </c>
      <c r="H13" s="2"/>
    </row>
    <row r="14" spans="1:10" x14ac:dyDescent="0.25">
      <c r="A14" s="104"/>
      <c r="B14" s="105"/>
      <c r="C14" s="485"/>
      <c r="D14" s="486"/>
      <c r="E14" s="487"/>
      <c r="F14" s="80"/>
      <c r="G14" s="106"/>
      <c r="H14" s="2"/>
    </row>
    <row r="15" spans="1:10" x14ac:dyDescent="0.25">
      <c r="A15" s="107" t="s">
        <v>127</v>
      </c>
      <c r="B15" s="108"/>
      <c r="C15" s="109"/>
      <c r="D15" s="119"/>
      <c r="E15" s="110"/>
      <c r="F15" s="111"/>
      <c r="G15" s="51"/>
      <c r="H15" s="2"/>
    </row>
    <row r="16" spans="1:10" x14ac:dyDescent="0.25">
      <c r="A16" s="107" t="s">
        <v>287</v>
      </c>
      <c r="B16" s="3"/>
      <c r="C16" s="53">
        <f t="shared" ref="C16:C24" si="0">ROUND(CPIWAT*D16,2)</f>
        <v>64.84</v>
      </c>
      <c r="D16" s="53">
        <v>45.37</v>
      </c>
      <c r="E16" s="110" t="s">
        <v>58</v>
      </c>
      <c r="F16" s="112"/>
      <c r="G16" s="51">
        <f t="shared" ref="G16:G24" si="1">B16*C16</f>
        <v>0</v>
      </c>
      <c r="H16" s="2"/>
      <c r="J16" s="141"/>
    </row>
    <row r="17" spans="1:24" x14ac:dyDescent="0.25">
      <c r="A17" s="107" t="s">
        <v>288</v>
      </c>
      <c r="B17" s="3"/>
      <c r="C17" s="53">
        <f t="shared" si="0"/>
        <v>80.27</v>
      </c>
      <c r="D17" s="53">
        <v>56.17</v>
      </c>
      <c r="E17" s="110" t="s">
        <v>58</v>
      </c>
      <c r="F17" s="112"/>
      <c r="G17" s="51">
        <f t="shared" si="1"/>
        <v>0</v>
      </c>
      <c r="H17" s="2"/>
      <c r="J17" s="141"/>
    </row>
    <row r="18" spans="1:24" x14ac:dyDescent="0.25">
      <c r="A18" s="107" t="s">
        <v>289</v>
      </c>
      <c r="B18" s="3"/>
      <c r="C18" s="53">
        <f t="shared" si="0"/>
        <v>104.98</v>
      </c>
      <c r="D18" s="53">
        <v>73.459999999999994</v>
      </c>
      <c r="E18" s="110" t="s">
        <v>58</v>
      </c>
      <c r="F18" s="112"/>
      <c r="G18" s="51">
        <f t="shared" si="1"/>
        <v>0</v>
      </c>
      <c r="H18" s="2"/>
      <c r="J18" s="141"/>
    </row>
    <row r="19" spans="1:24" x14ac:dyDescent="0.25">
      <c r="A19" s="107" t="s">
        <v>290</v>
      </c>
      <c r="B19" s="3"/>
      <c r="C19" s="53">
        <f t="shared" si="0"/>
        <v>111.16</v>
      </c>
      <c r="D19" s="53">
        <v>77.78</v>
      </c>
      <c r="E19" s="110" t="s">
        <v>58</v>
      </c>
      <c r="F19" s="112"/>
      <c r="G19" s="51">
        <f t="shared" si="1"/>
        <v>0</v>
      </c>
      <c r="H19" s="2"/>
      <c r="J19" s="141"/>
    </row>
    <row r="20" spans="1:24" x14ac:dyDescent="0.25">
      <c r="A20" s="107" t="s">
        <v>291</v>
      </c>
      <c r="B20" s="3"/>
      <c r="C20" s="53">
        <f t="shared" si="0"/>
        <v>128.13</v>
      </c>
      <c r="D20" s="53">
        <v>89.66</v>
      </c>
      <c r="E20" s="110" t="s">
        <v>58</v>
      </c>
      <c r="F20" s="112"/>
      <c r="G20" s="51">
        <f t="shared" si="1"/>
        <v>0</v>
      </c>
      <c r="H20" s="2"/>
      <c r="J20" s="141"/>
    </row>
    <row r="21" spans="1:24" x14ac:dyDescent="0.25">
      <c r="A21" s="107" t="s">
        <v>292</v>
      </c>
      <c r="B21" s="3"/>
      <c r="C21" s="53">
        <f t="shared" si="0"/>
        <v>137.4</v>
      </c>
      <c r="D21" s="53">
        <v>96.14</v>
      </c>
      <c r="E21" s="110" t="s">
        <v>58</v>
      </c>
      <c r="F21" s="112"/>
      <c r="G21" s="51">
        <f t="shared" si="1"/>
        <v>0</v>
      </c>
      <c r="H21" s="2"/>
      <c r="J21" s="141"/>
    </row>
    <row r="22" spans="1:24" x14ac:dyDescent="0.25">
      <c r="A22" s="107" t="s">
        <v>293</v>
      </c>
      <c r="B22" s="3"/>
      <c r="C22" s="53">
        <f t="shared" si="0"/>
        <v>144.34</v>
      </c>
      <c r="D22" s="53">
        <v>101</v>
      </c>
      <c r="E22" s="110" t="s">
        <v>58</v>
      </c>
      <c r="F22" s="112"/>
      <c r="G22" s="51">
        <f t="shared" si="1"/>
        <v>0</v>
      </c>
      <c r="H22" s="2"/>
      <c r="J22" s="141"/>
    </row>
    <row r="23" spans="1:24" x14ac:dyDescent="0.25">
      <c r="A23" s="107" t="s">
        <v>294</v>
      </c>
      <c r="B23" s="3"/>
      <c r="C23" s="53">
        <f t="shared" si="0"/>
        <v>160.55000000000001</v>
      </c>
      <c r="D23" s="53">
        <v>112.34</v>
      </c>
      <c r="E23" s="110" t="s">
        <v>58</v>
      </c>
      <c r="F23" s="112"/>
      <c r="G23" s="51">
        <f t="shared" si="1"/>
        <v>0</v>
      </c>
      <c r="H23" s="2"/>
      <c r="J23" s="141"/>
    </row>
    <row r="24" spans="1:24" x14ac:dyDescent="0.25">
      <c r="A24" s="548" t="s">
        <v>491</v>
      </c>
      <c r="B24" s="3"/>
      <c r="C24" s="45">
        <f t="shared" si="0"/>
        <v>0</v>
      </c>
      <c r="D24" s="53"/>
      <c r="E24" s="110" t="s">
        <v>58</v>
      </c>
      <c r="F24" s="112"/>
      <c r="G24" s="51">
        <f t="shared" si="1"/>
        <v>0</v>
      </c>
      <c r="H24" s="2"/>
      <c r="J24" s="141"/>
    </row>
    <row r="25" spans="1:24" x14ac:dyDescent="0.25">
      <c r="A25" s="107"/>
      <c r="B25" s="108"/>
      <c r="C25" s="109"/>
      <c r="D25" s="53"/>
      <c r="E25" s="110"/>
      <c r="F25" s="111"/>
      <c r="G25" s="51"/>
      <c r="H25" s="2"/>
    </row>
    <row r="26" spans="1:24" x14ac:dyDescent="0.25">
      <c r="A26" s="107" t="s">
        <v>128</v>
      </c>
      <c r="B26" s="108"/>
      <c r="C26" s="109"/>
      <c r="D26" s="53"/>
      <c r="E26" s="110"/>
      <c r="F26" s="111"/>
      <c r="G26" s="51"/>
      <c r="H26" s="2"/>
    </row>
    <row r="27" spans="1:24" x14ac:dyDescent="0.25">
      <c r="A27" s="107" t="s">
        <v>129</v>
      </c>
      <c r="B27" s="3"/>
      <c r="C27" s="53">
        <f>ROUND(CPIWAT*D27,2)</f>
        <v>4940.2299999999996</v>
      </c>
      <c r="D27" s="53">
        <v>3456.85</v>
      </c>
      <c r="E27" s="110" t="s">
        <v>57</v>
      </c>
      <c r="F27" s="112"/>
      <c r="G27" s="51">
        <f>B27*C27</f>
        <v>0</v>
      </c>
      <c r="H27" s="2"/>
      <c r="J27" s="141"/>
    </row>
    <row r="28" spans="1:24" x14ac:dyDescent="0.25">
      <c r="A28" s="107" t="s">
        <v>232</v>
      </c>
      <c r="B28" s="3"/>
      <c r="C28" s="53">
        <f>ROUND(CPIWAT*D28,2)</f>
        <v>6329.69</v>
      </c>
      <c r="D28" s="53">
        <v>4429.1000000000004</v>
      </c>
      <c r="E28" s="110" t="s">
        <v>57</v>
      </c>
      <c r="F28" s="112"/>
      <c r="G28" s="51">
        <f>B28*C28</f>
        <v>0</v>
      </c>
      <c r="H28" s="2"/>
      <c r="J28" s="141"/>
    </row>
    <row r="29" spans="1:24" x14ac:dyDescent="0.25">
      <c r="A29" s="548" t="s">
        <v>491</v>
      </c>
      <c r="B29" s="3"/>
      <c r="C29" s="45">
        <f t="shared" ref="C29" si="2">ROUND(CPIWAT*D29,2)</f>
        <v>0</v>
      </c>
      <c r="D29" s="53"/>
      <c r="E29" s="382" t="s">
        <v>57</v>
      </c>
      <c r="F29" s="112"/>
      <c r="G29" s="51">
        <f t="shared" ref="G29" si="3">B29*C29</f>
        <v>0</v>
      </c>
      <c r="H29" s="2"/>
      <c r="J29" s="141"/>
    </row>
    <row r="30" spans="1:24" x14ac:dyDescent="0.25">
      <c r="A30" s="107"/>
      <c r="B30" s="113"/>
      <c r="C30" s="109"/>
      <c r="D30" s="53"/>
      <c r="E30" s="110"/>
      <c r="F30" s="112"/>
      <c r="G30" s="51"/>
      <c r="H30" s="115"/>
      <c r="J30" s="116"/>
      <c r="M30" s="116"/>
      <c r="P30" s="116"/>
      <c r="S30" s="116"/>
      <c r="V30" s="116"/>
    </row>
    <row r="31" spans="1:24" x14ac:dyDescent="0.25">
      <c r="A31" s="107" t="s">
        <v>132</v>
      </c>
      <c r="B31" s="113"/>
      <c r="C31" s="109"/>
      <c r="D31" s="53"/>
      <c r="E31" s="110"/>
      <c r="F31" s="112"/>
      <c r="G31" s="51"/>
      <c r="H31" s="117"/>
      <c r="I31" s="118"/>
      <c r="J31" s="118"/>
      <c r="K31" s="118"/>
      <c r="L31" s="118"/>
      <c r="M31" s="118"/>
      <c r="N31" s="118"/>
      <c r="O31" s="118"/>
      <c r="P31" s="118"/>
      <c r="Q31" s="118"/>
      <c r="R31" s="118"/>
      <c r="S31" s="118"/>
      <c r="T31" s="118"/>
      <c r="U31" s="118"/>
      <c r="V31" s="118"/>
      <c r="W31" s="118"/>
      <c r="X31" s="118"/>
    </row>
    <row r="32" spans="1:24" x14ac:dyDescent="0.25">
      <c r="A32" s="107" t="s">
        <v>129</v>
      </c>
      <c r="B32" s="3"/>
      <c r="C32" s="53">
        <f>ROUND(CPIWAT*D32,2)</f>
        <v>3952.19</v>
      </c>
      <c r="D32" s="53">
        <v>2765.48</v>
      </c>
      <c r="E32" s="110" t="s">
        <v>57</v>
      </c>
      <c r="F32" s="112"/>
      <c r="G32" s="51">
        <f t="shared" ref="G32:G41" si="4">B32*C32</f>
        <v>0</v>
      </c>
      <c r="H32" s="2"/>
      <c r="J32" s="141"/>
    </row>
    <row r="33" spans="1:10" x14ac:dyDescent="0.25">
      <c r="A33" s="107" t="s">
        <v>130</v>
      </c>
      <c r="B33" s="3"/>
      <c r="C33" s="53">
        <f>ROUND(CPIWAT*D33,2)</f>
        <v>7225.1</v>
      </c>
      <c r="D33" s="53">
        <v>5055.6499999999996</v>
      </c>
      <c r="E33" s="110" t="s">
        <v>57</v>
      </c>
      <c r="F33" s="112"/>
      <c r="G33" s="51">
        <f t="shared" si="4"/>
        <v>0</v>
      </c>
      <c r="H33" s="2"/>
      <c r="J33" s="141"/>
    </row>
    <row r="34" spans="1:10" x14ac:dyDescent="0.25">
      <c r="A34" s="548" t="s">
        <v>491</v>
      </c>
      <c r="B34" s="3"/>
      <c r="C34" s="45">
        <f t="shared" ref="C34" si="5">ROUND(CPIWAT*D34,2)</f>
        <v>0</v>
      </c>
      <c r="D34" s="53"/>
      <c r="E34" s="382" t="s">
        <v>57</v>
      </c>
      <c r="F34" s="112"/>
      <c r="G34" s="51">
        <f t="shared" si="4"/>
        <v>0</v>
      </c>
      <c r="H34" s="2"/>
      <c r="J34" s="141"/>
    </row>
    <row r="35" spans="1:10" x14ac:dyDescent="0.25">
      <c r="A35" s="107"/>
      <c r="B35" s="113"/>
      <c r="C35" s="109"/>
      <c r="D35" s="53"/>
      <c r="E35" s="110"/>
      <c r="F35" s="112"/>
      <c r="G35" s="51"/>
      <c r="H35" s="2"/>
    </row>
    <row r="36" spans="1:10" x14ac:dyDescent="0.25">
      <c r="A36" s="107" t="s">
        <v>233</v>
      </c>
      <c r="B36" s="113"/>
      <c r="C36" s="109"/>
      <c r="D36" s="53"/>
      <c r="E36" s="110"/>
      <c r="F36" s="112"/>
      <c r="G36" s="51"/>
      <c r="H36" s="2"/>
    </row>
    <row r="37" spans="1:10" x14ac:dyDescent="0.25">
      <c r="A37" s="107" t="s">
        <v>234</v>
      </c>
      <c r="B37" s="113"/>
      <c r="C37" s="109"/>
      <c r="D37" s="53"/>
      <c r="E37" s="110"/>
      <c r="F37" s="112"/>
      <c r="G37" s="51"/>
      <c r="H37" s="2"/>
    </row>
    <row r="38" spans="1:10" x14ac:dyDescent="0.25">
      <c r="A38" s="107" t="s">
        <v>133</v>
      </c>
      <c r="B38" s="3"/>
      <c r="C38" s="53">
        <f>ROUND(CPIWAT*D38,2)</f>
        <v>33655.379999999997</v>
      </c>
      <c r="D38" s="53">
        <v>23549.82</v>
      </c>
      <c r="E38" s="110" t="s">
        <v>57</v>
      </c>
      <c r="F38" s="112"/>
      <c r="G38" s="51">
        <f t="shared" si="4"/>
        <v>0</v>
      </c>
      <c r="H38" s="2"/>
      <c r="J38" s="141"/>
    </row>
    <row r="39" spans="1:10" x14ac:dyDescent="0.25">
      <c r="A39" s="107" t="s">
        <v>134</v>
      </c>
      <c r="B39" s="3"/>
      <c r="C39" s="53">
        <f>ROUND(CPIWAT*D39,2)</f>
        <v>40139.449999999997</v>
      </c>
      <c r="D39" s="53">
        <v>28086.95</v>
      </c>
      <c r="E39" s="110" t="s">
        <v>57</v>
      </c>
      <c r="F39" s="112"/>
      <c r="G39" s="51">
        <f t="shared" si="4"/>
        <v>0</v>
      </c>
      <c r="H39" s="2"/>
      <c r="J39" s="141"/>
    </row>
    <row r="40" spans="1:10" x14ac:dyDescent="0.25">
      <c r="A40" s="107" t="s">
        <v>135</v>
      </c>
      <c r="B40" s="3"/>
      <c r="C40" s="53">
        <f>ROUND(CPIWAT*D40,2)</f>
        <v>48090.14</v>
      </c>
      <c r="D40" s="53">
        <v>33650.32</v>
      </c>
      <c r="E40" s="110" t="s">
        <v>57</v>
      </c>
      <c r="F40" s="112"/>
      <c r="G40" s="51">
        <f t="shared" si="4"/>
        <v>0</v>
      </c>
      <c r="H40" s="2"/>
      <c r="J40" s="141"/>
    </row>
    <row r="41" spans="1:10" x14ac:dyDescent="0.25">
      <c r="A41" s="548" t="s">
        <v>491</v>
      </c>
      <c r="B41" s="3"/>
      <c r="C41" s="45">
        <f t="shared" ref="C41" si="6">ROUND(CPIWAT*D41,2)</f>
        <v>0</v>
      </c>
      <c r="D41" s="53"/>
      <c r="E41" s="382" t="s">
        <v>57</v>
      </c>
      <c r="F41" s="112"/>
      <c r="G41" s="51">
        <f t="shared" si="4"/>
        <v>0</v>
      </c>
      <c r="H41" s="2"/>
      <c r="J41" s="141"/>
    </row>
    <row r="42" spans="1:10" x14ac:dyDescent="0.25">
      <c r="A42" s="107"/>
      <c r="B42" s="113"/>
      <c r="C42" s="109"/>
      <c r="D42" s="53"/>
      <c r="E42" s="110"/>
      <c r="F42" s="112"/>
      <c r="G42" s="51"/>
      <c r="H42" s="2"/>
    </row>
    <row r="43" spans="1:10" x14ac:dyDescent="0.25">
      <c r="A43" s="107" t="s">
        <v>24</v>
      </c>
      <c r="B43" s="113"/>
      <c r="C43" s="109"/>
      <c r="D43" s="53"/>
      <c r="E43" s="110"/>
      <c r="F43" s="112"/>
      <c r="G43" s="51"/>
      <c r="H43" s="2"/>
    </row>
    <row r="44" spans="1:10" x14ac:dyDescent="0.25">
      <c r="A44" s="107" t="s">
        <v>136</v>
      </c>
      <c r="B44" s="3"/>
      <c r="C44" s="53">
        <f>ROUND(CPIWAT*D44,2)</f>
        <v>10806.77</v>
      </c>
      <c r="D44" s="53">
        <v>7561.87</v>
      </c>
      <c r="E44" s="110" t="s">
        <v>57</v>
      </c>
      <c r="F44" s="112"/>
      <c r="G44" s="51">
        <f t="shared" ref="G44:G52" si="7">B44*C44</f>
        <v>0</v>
      </c>
      <c r="H44" s="2"/>
      <c r="J44" s="141"/>
    </row>
    <row r="45" spans="1:10" x14ac:dyDescent="0.25">
      <c r="A45" s="107" t="s">
        <v>137</v>
      </c>
      <c r="B45" s="3"/>
      <c r="C45" s="53">
        <f>ROUND(CPIWAT*D45,2)</f>
        <v>6484.06</v>
      </c>
      <c r="D45" s="53">
        <v>4537.12</v>
      </c>
      <c r="E45" s="110" t="s">
        <v>57</v>
      </c>
      <c r="F45" s="111"/>
      <c r="G45" s="51">
        <f t="shared" si="7"/>
        <v>0</v>
      </c>
      <c r="H45" s="2"/>
      <c r="J45" s="141"/>
    </row>
    <row r="46" spans="1:10" x14ac:dyDescent="0.25">
      <c r="A46" s="107" t="s">
        <v>138</v>
      </c>
      <c r="B46" s="3"/>
      <c r="C46" s="53">
        <f>ROUND(CPIWAT*D46,2)</f>
        <v>48090.14</v>
      </c>
      <c r="D46" s="53">
        <v>33650.32</v>
      </c>
      <c r="E46" s="110" t="s">
        <v>57</v>
      </c>
      <c r="F46" s="111"/>
      <c r="G46" s="51">
        <f t="shared" si="7"/>
        <v>0</v>
      </c>
      <c r="H46" s="2"/>
      <c r="J46" s="141"/>
    </row>
    <row r="47" spans="1:10" x14ac:dyDescent="0.25">
      <c r="A47" s="107" t="s">
        <v>139</v>
      </c>
      <c r="B47" s="3"/>
      <c r="C47" s="53">
        <f>ROUND(CPIWAT*D47,2)</f>
        <v>96180.29</v>
      </c>
      <c r="D47" s="53">
        <v>67300.639999999999</v>
      </c>
      <c r="E47" s="110" t="s">
        <v>57</v>
      </c>
      <c r="F47" s="111"/>
      <c r="G47" s="51">
        <f t="shared" si="7"/>
        <v>0</v>
      </c>
      <c r="H47" s="2"/>
      <c r="J47" s="141"/>
    </row>
    <row r="48" spans="1:10" x14ac:dyDescent="0.25">
      <c r="A48" s="107" t="s">
        <v>140</v>
      </c>
      <c r="B48" s="3"/>
      <c r="C48" s="109">
        <v>0</v>
      </c>
      <c r="D48" s="53">
        <v>0</v>
      </c>
      <c r="E48" s="383" t="s">
        <v>141</v>
      </c>
      <c r="F48" s="111"/>
      <c r="G48" s="51">
        <f t="shared" si="7"/>
        <v>0</v>
      </c>
      <c r="H48" s="2"/>
    </row>
    <row r="49" spans="1:10" x14ac:dyDescent="0.25">
      <c r="A49" s="107" t="s">
        <v>142</v>
      </c>
      <c r="B49" s="3"/>
      <c r="C49" s="109">
        <v>0</v>
      </c>
      <c r="D49" s="53">
        <v>0</v>
      </c>
      <c r="E49" s="383" t="s">
        <v>141</v>
      </c>
      <c r="F49" s="111"/>
      <c r="G49" s="51">
        <f t="shared" si="7"/>
        <v>0</v>
      </c>
      <c r="H49" s="2"/>
    </row>
    <row r="50" spans="1:10" x14ac:dyDescent="0.25">
      <c r="A50" s="107" t="s">
        <v>143</v>
      </c>
      <c r="B50" s="3"/>
      <c r="C50" s="109">
        <v>0</v>
      </c>
      <c r="D50" s="53">
        <v>0</v>
      </c>
      <c r="E50" s="383" t="s">
        <v>141</v>
      </c>
      <c r="F50" s="111"/>
      <c r="G50" s="51">
        <f t="shared" si="7"/>
        <v>0</v>
      </c>
      <c r="H50" s="2"/>
    </row>
    <row r="51" spans="1:10" x14ac:dyDescent="0.25">
      <c r="A51" s="107" t="s">
        <v>144</v>
      </c>
      <c r="B51" s="3"/>
      <c r="C51" s="53">
        <f>ROUND(CPIWAT*D51,2)</f>
        <v>480.9</v>
      </c>
      <c r="D51" s="53">
        <v>336.5</v>
      </c>
      <c r="E51" s="110" t="s">
        <v>58</v>
      </c>
      <c r="F51" s="111"/>
      <c r="G51" s="51">
        <f t="shared" si="7"/>
        <v>0</v>
      </c>
      <c r="H51" s="2"/>
      <c r="J51" s="141"/>
    </row>
    <row r="52" spans="1:10" x14ac:dyDescent="0.25">
      <c r="A52" s="107" t="s">
        <v>145</v>
      </c>
      <c r="B52" s="3"/>
      <c r="C52" s="53">
        <f>ROUND(CPIWAT*D52,2)</f>
        <v>16024.9</v>
      </c>
      <c r="D52" s="53">
        <v>11213.17</v>
      </c>
      <c r="E52" s="110" t="s">
        <v>57</v>
      </c>
      <c r="F52" s="111"/>
      <c r="G52" s="51">
        <f t="shared" si="7"/>
        <v>0</v>
      </c>
      <c r="H52" s="2"/>
      <c r="J52" s="141"/>
    </row>
    <row r="53" spans="1:10" x14ac:dyDescent="0.25">
      <c r="A53" s="107" t="s">
        <v>146</v>
      </c>
      <c r="B53" s="3"/>
      <c r="C53" s="53">
        <f>ROUND(CPIWAT*D53,2)</f>
        <v>13.12</v>
      </c>
      <c r="D53" s="53">
        <v>9.18</v>
      </c>
      <c r="E53" s="110" t="s">
        <v>123</v>
      </c>
      <c r="F53" s="111"/>
      <c r="G53" s="51">
        <f t="shared" ref="G53:G58" si="8">B53*C53</f>
        <v>0</v>
      </c>
      <c r="H53" s="2"/>
      <c r="J53" s="141"/>
    </row>
    <row r="54" spans="1:10" x14ac:dyDescent="0.25">
      <c r="A54" s="350" t="s">
        <v>319</v>
      </c>
      <c r="B54" s="10"/>
      <c r="C54" s="53">
        <f>ROUND(CPIWAT*D54,2)</f>
        <v>3242.03</v>
      </c>
      <c r="D54" s="384">
        <v>2268.56</v>
      </c>
      <c r="E54" s="2" t="s">
        <v>57</v>
      </c>
      <c r="F54" s="139"/>
      <c r="G54" s="51">
        <f t="shared" si="8"/>
        <v>0</v>
      </c>
      <c r="H54" s="2"/>
      <c r="J54" s="141"/>
    </row>
    <row r="55" spans="1:10" x14ac:dyDescent="0.25">
      <c r="A55" s="107" t="s">
        <v>491</v>
      </c>
      <c r="B55" s="3"/>
      <c r="C55" s="11">
        <v>0</v>
      </c>
      <c r="D55" s="53">
        <v>0</v>
      </c>
      <c r="E55" s="110" t="s">
        <v>57</v>
      </c>
      <c r="F55" s="111"/>
      <c r="G55" s="51">
        <f t="shared" si="8"/>
        <v>0</v>
      </c>
      <c r="H55" s="2"/>
    </row>
    <row r="56" spans="1:10" x14ac:dyDescent="0.25">
      <c r="A56" s="22"/>
      <c r="B56" s="3"/>
      <c r="C56" s="11">
        <v>0</v>
      </c>
      <c r="D56" s="119"/>
      <c r="E56" s="110"/>
      <c r="F56" s="111"/>
      <c r="G56" s="51">
        <f t="shared" si="8"/>
        <v>0</v>
      </c>
      <c r="H56" s="2"/>
    </row>
    <row r="57" spans="1:10" x14ac:dyDescent="0.25">
      <c r="A57" s="22"/>
      <c r="B57" s="3"/>
      <c r="C57" s="11">
        <v>0</v>
      </c>
      <c r="D57" s="119"/>
      <c r="E57" s="110"/>
      <c r="F57" s="111"/>
      <c r="G57" s="51">
        <f t="shared" si="8"/>
        <v>0</v>
      </c>
      <c r="H57" s="2"/>
    </row>
    <row r="58" spans="1:10" ht="13" thickBot="1" x14ac:dyDescent="0.3">
      <c r="A58" s="19"/>
      <c r="B58" s="20"/>
      <c r="C58" s="21">
        <v>0</v>
      </c>
      <c r="D58" s="250"/>
      <c r="E58" s="252"/>
      <c r="F58" s="385"/>
      <c r="G58" s="386">
        <f t="shared" si="8"/>
        <v>0</v>
      </c>
      <c r="H58" s="2"/>
    </row>
    <row r="59" spans="1:10" ht="13" thickBot="1" x14ac:dyDescent="0.3">
      <c r="A59" s="2"/>
      <c r="B59" s="101"/>
      <c r="C59" s="100"/>
      <c r="D59" s="100"/>
      <c r="E59" s="100"/>
      <c r="F59" s="2"/>
      <c r="G59" s="2"/>
      <c r="H59" s="2"/>
    </row>
    <row r="60" spans="1:10" ht="13" thickBot="1" x14ac:dyDescent="0.3">
      <c r="A60" s="127" t="s">
        <v>316</v>
      </c>
      <c r="B60" s="7"/>
      <c r="C60" s="100"/>
      <c r="D60" s="100"/>
      <c r="E60" s="100"/>
      <c r="F60" s="128" t="s">
        <v>94</v>
      </c>
      <c r="G60" s="54">
        <f>SUM(G16:G58)</f>
        <v>0</v>
      </c>
      <c r="H60" s="2"/>
    </row>
    <row r="61" spans="1:10" x14ac:dyDescent="0.25">
      <c r="A61" s="127"/>
      <c r="B61"/>
      <c r="C61" s="100"/>
      <c r="D61" s="100"/>
      <c r="E61" s="100"/>
      <c r="F61" s="128" t="s">
        <v>317</v>
      </c>
      <c r="G61" s="55">
        <f>IF($B$60="Yes",0.05*G60,0)</f>
        <v>0</v>
      </c>
      <c r="H61" s="2"/>
    </row>
    <row r="62" spans="1:10" x14ac:dyDescent="0.25">
      <c r="A62" s="2"/>
      <c r="B62" s="101"/>
      <c r="C62" s="129"/>
      <c r="D62" s="129"/>
      <c r="E62" s="100"/>
      <c r="F62" s="128" t="s">
        <v>285</v>
      </c>
      <c r="G62" s="54">
        <f>0.15*(G60+G61)</f>
        <v>0</v>
      </c>
      <c r="H62" s="2"/>
    </row>
    <row r="63" spans="1:10" x14ac:dyDescent="0.25">
      <c r="A63" s="130"/>
      <c r="B63" s="101"/>
      <c r="C63" s="100"/>
      <c r="D63" s="100"/>
      <c r="E63" s="100"/>
      <c r="F63" s="128" t="s">
        <v>272</v>
      </c>
      <c r="G63" s="55">
        <f>0.12*(G60+G61+G62)</f>
        <v>0</v>
      </c>
      <c r="H63" s="2"/>
    </row>
    <row r="64" spans="1:10" ht="13" thickBot="1" x14ac:dyDescent="0.3">
      <c r="A64" s="130"/>
      <c r="B64" s="101"/>
      <c r="C64" s="100"/>
      <c r="D64" s="100"/>
      <c r="E64" s="100"/>
      <c r="F64" s="387" t="s">
        <v>273</v>
      </c>
      <c r="G64" s="54">
        <f>SUM(G60:G63)</f>
        <v>0</v>
      </c>
      <c r="H64" s="2"/>
    </row>
    <row r="65" spans="1:8" ht="13.5" thickBot="1" x14ac:dyDescent="0.35">
      <c r="A65" s="2"/>
      <c r="B65" s="101"/>
      <c r="C65" s="100"/>
      <c r="D65" s="100"/>
      <c r="E65" s="100"/>
      <c r="F65" s="131" t="s">
        <v>286</v>
      </c>
      <c r="G65" s="56">
        <f>ROUNDUP(G64,-2)</f>
        <v>0</v>
      </c>
      <c r="H65" s="2"/>
    </row>
    <row r="66" spans="1:8" x14ac:dyDescent="0.25">
      <c r="A66" s="2"/>
      <c r="B66" s="101"/>
      <c r="C66" s="100"/>
      <c r="D66" s="100"/>
      <c r="E66" s="132"/>
      <c r="F66" s="2"/>
      <c r="G66" s="133" t="s">
        <v>250</v>
      </c>
      <c r="H66" s="2"/>
    </row>
    <row r="67" spans="1:8" x14ac:dyDescent="0.25">
      <c r="A67" s="2"/>
      <c r="B67" s="101"/>
      <c r="C67" s="100"/>
      <c r="D67" s="100"/>
      <c r="E67" s="132"/>
      <c r="F67" s="2"/>
      <c r="G67" s="130"/>
      <c r="H67" s="2"/>
    </row>
    <row r="68" spans="1:8" x14ac:dyDescent="0.25">
      <c r="A68" s="530" t="s">
        <v>147</v>
      </c>
      <c r="B68" s="530"/>
      <c r="C68" s="530"/>
      <c r="D68" s="530"/>
      <c r="E68" s="530"/>
      <c r="F68" s="530"/>
      <c r="G68" s="130"/>
      <c r="H68" s="2"/>
    </row>
    <row r="69" spans="1:8" x14ac:dyDescent="0.25">
      <c r="A69" s="530"/>
      <c r="B69" s="530"/>
      <c r="C69" s="530"/>
      <c r="D69" s="530"/>
      <c r="E69" s="530"/>
      <c r="F69" s="530"/>
      <c r="G69" s="130"/>
      <c r="H69" s="2"/>
    </row>
    <row r="70" spans="1:8" x14ac:dyDescent="0.25">
      <c r="A70" s="530"/>
      <c r="B70" s="530"/>
      <c r="C70" s="530"/>
      <c r="D70" s="530"/>
      <c r="E70" s="530"/>
      <c r="F70" s="530"/>
      <c r="G70" s="130"/>
      <c r="H70" s="2"/>
    </row>
    <row r="71" spans="1:8" x14ac:dyDescent="0.25">
      <c r="A71" s="2" t="s">
        <v>148</v>
      </c>
      <c r="B71" s="101"/>
      <c r="C71" s="163"/>
      <c r="D71" s="163"/>
      <c r="E71" s="100"/>
      <c r="F71" s="2"/>
      <c r="G71" s="2"/>
      <c r="H71" s="2"/>
    </row>
    <row r="72" spans="1:8" x14ac:dyDescent="0.25">
      <c r="A72" s="2"/>
      <c r="B72" s="101"/>
      <c r="C72" s="100"/>
      <c r="D72" s="100"/>
      <c r="E72" s="100"/>
      <c r="F72" s="2"/>
      <c r="G72" s="2"/>
      <c r="H72" s="2"/>
    </row>
    <row r="73" spans="1:8" x14ac:dyDescent="0.25">
      <c r="A73" s="2" t="s">
        <v>149</v>
      </c>
      <c r="B73" s="101"/>
      <c r="C73" s="100"/>
      <c r="D73" s="100"/>
      <c r="E73" s="100"/>
      <c r="F73" s="2"/>
      <c r="G73" s="2"/>
      <c r="H73" s="2"/>
    </row>
    <row r="74" spans="1:8" x14ac:dyDescent="0.25">
      <c r="A74" s="2"/>
      <c r="B74" s="101"/>
      <c r="C74" s="100"/>
      <c r="D74" s="100"/>
      <c r="E74" s="100"/>
      <c r="F74" s="2"/>
      <c r="G74" s="2"/>
      <c r="H74" s="2"/>
    </row>
    <row r="75" spans="1:8" x14ac:dyDescent="0.25">
      <c r="A75" s="2"/>
      <c r="B75" s="101"/>
      <c r="C75" s="100"/>
      <c r="D75" s="100"/>
      <c r="E75" s="100"/>
      <c r="F75" s="2"/>
      <c r="G75" s="2"/>
      <c r="H75" s="2"/>
    </row>
    <row r="76" spans="1:8" x14ac:dyDescent="0.25">
      <c r="A76" s="134"/>
      <c r="B76" s="135"/>
      <c r="C76" s="136"/>
      <c r="D76" s="136"/>
      <c r="E76" s="136"/>
      <c r="F76" s="122"/>
      <c r="G76" s="123"/>
      <c r="H76" s="2"/>
    </row>
    <row r="77" spans="1:8" ht="13" x14ac:dyDescent="0.3">
      <c r="A77" s="137" t="s">
        <v>98</v>
      </c>
      <c r="B77" s="101"/>
      <c r="C77" s="138"/>
      <c r="D77" s="138"/>
      <c r="E77" s="138"/>
      <c r="F77" s="2"/>
      <c r="G77" s="139"/>
      <c r="H77" s="2"/>
    </row>
    <row r="78" spans="1:8" x14ac:dyDescent="0.25">
      <c r="A78" s="140"/>
      <c r="B78" s="101"/>
      <c r="C78" s="138"/>
      <c r="D78" s="138"/>
      <c r="E78" s="138"/>
      <c r="F78" s="2"/>
      <c r="G78" s="139"/>
      <c r="H78" s="2"/>
    </row>
    <row r="79" spans="1:8" x14ac:dyDescent="0.25">
      <c r="A79" s="140"/>
      <c r="B79" s="101"/>
      <c r="C79" s="138"/>
      <c r="D79" s="138"/>
      <c r="E79" s="127" t="s">
        <v>295</v>
      </c>
      <c r="F79" s="96">
        <f>SUM(B16:B23)</f>
        <v>0</v>
      </c>
      <c r="G79" s="139" t="s">
        <v>217</v>
      </c>
      <c r="H79" s="2"/>
    </row>
    <row r="80" spans="1:8" x14ac:dyDescent="0.25">
      <c r="A80" s="140"/>
      <c r="B80" s="101"/>
      <c r="C80" s="138"/>
      <c r="D80" s="138"/>
      <c r="E80" s="127" t="s">
        <v>296</v>
      </c>
      <c r="F80" s="84">
        <f>IF(F79&gt;1,IF(F79&lt;151,B92,IF(F79&lt;501,B93,IF(F79&lt;1001,B94,IF(F79&lt;2001,B95,IF(F79&lt;3001,B96,IF(F79&lt;4001,B97,IF(F79&lt;5001,B98,B99+(E99/1000)*(F79-5000)))))))),0)</f>
        <v>0</v>
      </c>
      <c r="G80" s="139"/>
      <c r="H80" s="2"/>
    </row>
    <row r="81" spans="1:8" x14ac:dyDescent="0.25">
      <c r="A81" s="388"/>
      <c r="C81" s="138"/>
      <c r="D81" s="138"/>
      <c r="E81" s="127" t="s">
        <v>297</v>
      </c>
      <c r="F81" s="55">
        <f>IF(B111&lt;11,IF(B111&gt;0,B108,0),B109+E109*(B111-G109))</f>
        <v>0</v>
      </c>
      <c r="G81" s="139"/>
      <c r="H81" s="2"/>
    </row>
    <row r="82" spans="1:8" x14ac:dyDescent="0.25">
      <c r="A82" s="388"/>
      <c r="C82" s="138"/>
      <c r="D82" s="138"/>
      <c r="E82" s="127" t="s">
        <v>298</v>
      </c>
      <c r="F82" s="55">
        <f>IF(B118="Yes", B116+0.0017*(G60+G61+G62),0)</f>
        <v>0</v>
      </c>
      <c r="G82" s="139"/>
      <c r="H82" s="2"/>
    </row>
    <row r="83" spans="1:8" x14ac:dyDescent="0.25">
      <c r="A83" s="388"/>
      <c r="C83" s="138"/>
      <c r="D83" s="138"/>
      <c r="E83" s="127" t="s">
        <v>299</v>
      </c>
      <c r="F83" s="55">
        <f>IF(B128="Yes", B126,0)</f>
        <v>0</v>
      </c>
      <c r="G83" s="139"/>
      <c r="H83" s="2"/>
    </row>
    <row r="84" spans="1:8" x14ac:dyDescent="0.25">
      <c r="A84" s="388"/>
      <c r="C84" s="138"/>
      <c r="D84" s="138"/>
      <c r="E84" s="127" t="s">
        <v>325</v>
      </c>
      <c r="F84" s="55">
        <f>IF(B139="Yes",B137,0)</f>
        <v>0</v>
      </c>
      <c r="G84" s="139"/>
      <c r="H84" s="2"/>
    </row>
    <row r="85" spans="1:8" ht="13" thickBot="1" x14ac:dyDescent="0.3">
      <c r="A85" s="388"/>
      <c r="C85" s="138"/>
      <c r="D85" s="138"/>
      <c r="E85" s="127" t="s">
        <v>326</v>
      </c>
      <c r="F85" s="62">
        <f>IF(B145="Yes",B143,0)</f>
        <v>0</v>
      </c>
      <c r="G85" s="139"/>
      <c r="H85" s="2"/>
    </row>
    <row r="86" spans="1:8" ht="13.5" thickBot="1" x14ac:dyDescent="0.35">
      <c r="A86" s="140"/>
      <c r="B86" s="101"/>
      <c r="C86" s="138"/>
      <c r="D86" s="138"/>
      <c r="E86" s="142" t="s">
        <v>300</v>
      </c>
      <c r="F86" s="60">
        <f>ROUND(SUM(F80:F85),0)</f>
        <v>0</v>
      </c>
      <c r="G86" s="139"/>
      <c r="H86" s="2"/>
    </row>
    <row r="87" spans="1:8" x14ac:dyDescent="0.25">
      <c r="A87" s="389"/>
      <c r="B87" s="246"/>
      <c r="C87" s="138"/>
      <c r="D87" s="138"/>
      <c r="E87" s="127"/>
      <c r="F87" s="2"/>
      <c r="G87" s="139"/>
      <c r="H87" s="2"/>
    </row>
    <row r="88" spans="1:8" ht="13" thickBot="1" x14ac:dyDescent="0.3">
      <c r="A88" s="390"/>
      <c r="B88" s="101"/>
      <c r="C88" s="163"/>
      <c r="D88" s="163"/>
      <c r="E88" s="163"/>
      <c r="F88" s="2"/>
      <c r="G88" s="385"/>
      <c r="H88" s="2"/>
    </row>
    <row r="89" spans="1:8" ht="15.75" customHeight="1" thickBot="1" x14ac:dyDescent="0.3">
      <c r="A89" s="148"/>
      <c r="B89" s="149" t="s">
        <v>248</v>
      </c>
      <c r="C89" s="165"/>
      <c r="D89" s="165"/>
      <c r="E89" s="165"/>
      <c r="F89" s="165"/>
      <c r="G89" s="151"/>
      <c r="H89" s="2"/>
    </row>
    <row r="90" spans="1:8" x14ac:dyDescent="0.25">
      <c r="A90" s="152" t="s">
        <v>301</v>
      </c>
      <c r="B90" s="101"/>
      <c r="C90" s="153" t="s">
        <v>249</v>
      </c>
      <c r="D90" s="153"/>
      <c r="E90" s="153"/>
      <c r="F90" s="156"/>
      <c r="G90" s="154"/>
      <c r="H90" s="2"/>
    </row>
    <row r="91" spans="1:8" x14ac:dyDescent="0.25">
      <c r="A91" s="152"/>
      <c r="B91" s="101"/>
      <c r="C91" s="156"/>
      <c r="D91" s="156"/>
      <c r="E91" s="156"/>
      <c r="F91" s="156"/>
      <c r="G91" s="154"/>
      <c r="H91" s="2"/>
    </row>
    <row r="92" spans="1:8" x14ac:dyDescent="0.25">
      <c r="A92" s="155" t="s">
        <v>198</v>
      </c>
      <c r="B92" s="156">
        <v>1392</v>
      </c>
      <c r="C92" s="173"/>
      <c r="D92" s="173"/>
      <c r="E92" s="173"/>
      <c r="F92" s="156"/>
      <c r="G92" s="154"/>
      <c r="H92" s="2"/>
    </row>
    <row r="93" spans="1:8" x14ac:dyDescent="0.25">
      <c r="A93" s="155" t="s">
        <v>199</v>
      </c>
      <c r="B93" s="156">
        <v>2335</v>
      </c>
      <c r="C93" s="173"/>
      <c r="D93" s="173"/>
      <c r="E93" s="173"/>
      <c r="F93" s="156"/>
      <c r="G93" s="154"/>
      <c r="H93" s="2"/>
    </row>
    <row r="94" spans="1:8" x14ac:dyDescent="0.25">
      <c r="A94" s="155" t="s">
        <v>200</v>
      </c>
      <c r="B94" s="156">
        <v>3286</v>
      </c>
      <c r="C94" s="173"/>
      <c r="D94" s="173"/>
      <c r="E94" s="173"/>
      <c r="F94" s="156"/>
      <c r="G94" s="154"/>
      <c r="H94" s="2"/>
    </row>
    <row r="95" spans="1:8" x14ac:dyDescent="0.25">
      <c r="A95" s="155" t="s">
        <v>201</v>
      </c>
      <c r="B95" s="156">
        <v>4226</v>
      </c>
      <c r="C95" s="173"/>
      <c r="D95" s="173"/>
      <c r="E95" s="173"/>
      <c r="F95" s="156"/>
      <c r="G95" s="154"/>
      <c r="H95" s="2"/>
    </row>
    <row r="96" spans="1:8" x14ac:dyDescent="0.25">
      <c r="A96" s="155" t="s">
        <v>202</v>
      </c>
      <c r="B96" s="156">
        <v>4606</v>
      </c>
      <c r="C96" s="173"/>
      <c r="D96" s="173"/>
      <c r="E96" s="173"/>
      <c r="F96" s="156"/>
      <c r="G96" s="154"/>
      <c r="H96" s="2"/>
    </row>
    <row r="97" spans="1:8" x14ac:dyDescent="0.25">
      <c r="A97" s="155" t="s">
        <v>203</v>
      </c>
      <c r="B97" s="156">
        <v>5171</v>
      </c>
      <c r="C97" s="173"/>
      <c r="D97" s="173"/>
      <c r="E97" s="173"/>
      <c r="F97" s="156"/>
      <c r="G97" s="154"/>
      <c r="H97" s="2"/>
    </row>
    <row r="98" spans="1:8" x14ac:dyDescent="0.25">
      <c r="A98" s="155" t="s">
        <v>204</v>
      </c>
      <c r="B98" s="156">
        <v>6120</v>
      </c>
      <c r="C98" s="173"/>
      <c r="D98" s="173"/>
      <c r="E98" s="173"/>
      <c r="F98" s="156"/>
      <c r="G98" s="154"/>
      <c r="H98" s="2"/>
    </row>
    <row r="99" spans="1:8" ht="12.75" customHeight="1" x14ac:dyDescent="0.25">
      <c r="A99" s="155" t="s">
        <v>205</v>
      </c>
      <c r="B99" s="156">
        <v>6120</v>
      </c>
      <c r="C99" s="391" t="s">
        <v>247</v>
      </c>
      <c r="D99" s="391"/>
      <c r="E99" s="378">
        <v>1014</v>
      </c>
      <c r="F99" s="392" t="s">
        <v>320</v>
      </c>
      <c r="G99" s="393"/>
      <c r="H99" s="2"/>
    </row>
    <row r="100" spans="1:8" ht="13" thickBot="1" x14ac:dyDescent="0.3">
      <c r="A100" s="159"/>
      <c r="B100" s="394"/>
      <c r="C100" s="395"/>
      <c r="D100" s="395"/>
      <c r="E100" s="396"/>
      <c r="F100" s="177" t="s">
        <v>321</v>
      </c>
      <c r="G100" s="280"/>
      <c r="H100" s="2"/>
    </row>
    <row r="101" spans="1:8" ht="15.75" customHeight="1" thickBot="1" x14ac:dyDescent="0.3">
      <c r="A101" s="397"/>
      <c r="B101" s="149" t="s">
        <v>95</v>
      </c>
      <c r="C101" s="398"/>
      <c r="D101" s="398"/>
      <c r="E101" s="398"/>
      <c r="F101" s="165"/>
      <c r="G101" s="151"/>
      <c r="H101" s="2"/>
    </row>
    <row r="102" spans="1:8" x14ac:dyDescent="0.25">
      <c r="A102" s="414"/>
      <c r="B102" s="415"/>
      <c r="C102" s="416"/>
      <c r="D102" s="416"/>
      <c r="E102" s="416"/>
      <c r="F102" s="407"/>
      <c r="G102" s="408"/>
      <c r="H102" s="2"/>
    </row>
    <row r="103" spans="1:8" x14ac:dyDescent="0.25">
      <c r="A103" s="524" t="s">
        <v>566</v>
      </c>
      <c r="B103" s="517"/>
      <c r="C103" s="517"/>
      <c r="D103" s="517"/>
      <c r="E103" s="517"/>
      <c r="F103" s="517"/>
      <c r="G103" s="531"/>
      <c r="H103" s="2"/>
    </row>
    <row r="104" spans="1:8" x14ac:dyDescent="0.25">
      <c r="A104" s="532"/>
      <c r="B104" s="517"/>
      <c r="C104" s="517"/>
      <c r="D104" s="517"/>
      <c r="E104" s="517"/>
      <c r="F104" s="517"/>
      <c r="G104" s="531"/>
      <c r="H104" s="2"/>
    </row>
    <row r="105" spans="1:8" ht="12.75" customHeight="1" x14ac:dyDescent="0.25">
      <c r="A105" s="155"/>
      <c r="B105" s="32"/>
      <c r="C105" s="32"/>
      <c r="D105" s="32"/>
      <c r="E105" s="32"/>
      <c r="F105" s="32"/>
      <c r="G105" s="413"/>
      <c r="H105" s="2"/>
    </row>
    <row r="106" spans="1:8" ht="12.75" customHeight="1" x14ac:dyDescent="0.25">
      <c r="A106" s="152" t="s">
        <v>253</v>
      </c>
      <c r="B106" s="399"/>
      <c r="C106" s="153" t="s">
        <v>257</v>
      </c>
      <c r="D106" s="153"/>
      <c r="E106" s="400"/>
      <c r="F106" s="156"/>
      <c r="G106" s="154"/>
      <c r="H106" s="2"/>
    </row>
    <row r="107" spans="1:8" ht="12.75" customHeight="1" x14ac:dyDescent="0.25">
      <c r="A107" s="155"/>
      <c r="B107" s="399"/>
      <c r="C107" s="400"/>
      <c r="D107" s="400"/>
      <c r="E107" s="400"/>
      <c r="F107" s="156"/>
      <c r="G107" s="154"/>
      <c r="H107" s="2"/>
    </row>
    <row r="108" spans="1:8" ht="12.75" customHeight="1" x14ac:dyDescent="0.25">
      <c r="A108" s="353" t="s">
        <v>254</v>
      </c>
      <c r="B108" s="379">
        <v>280</v>
      </c>
      <c r="C108" s="400"/>
      <c r="D108" s="400"/>
      <c r="E108" s="400"/>
      <c r="F108" s="156"/>
      <c r="G108" s="154"/>
      <c r="H108" s="2"/>
    </row>
    <row r="109" spans="1:8" ht="12.75" customHeight="1" x14ac:dyDescent="0.25">
      <c r="A109" s="353" t="s">
        <v>255</v>
      </c>
      <c r="B109" s="379">
        <v>280</v>
      </c>
      <c r="C109" s="401" t="s">
        <v>244</v>
      </c>
      <c r="D109" s="401"/>
      <c r="E109" s="380">
        <v>48</v>
      </c>
      <c r="F109" s="400" t="s">
        <v>256</v>
      </c>
      <c r="G109" s="354">
        <v>10</v>
      </c>
      <c r="H109" s="2"/>
    </row>
    <row r="110" spans="1:8" ht="12.75" customHeight="1" thickBot="1" x14ac:dyDescent="0.3">
      <c r="A110" s="353"/>
      <c r="B110" s="379"/>
      <c r="C110" s="401"/>
      <c r="D110" s="401"/>
      <c r="E110" s="380"/>
      <c r="F110" s="400"/>
      <c r="G110" s="354"/>
      <c r="H110" s="2"/>
    </row>
    <row r="111" spans="1:8" ht="12.75" customHeight="1" thickBot="1" x14ac:dyDescent="0.3">
      <c r="A111" s="353" t="s">
        <v>258</v>
      </c>
      <c r="B111" s="418"/>
      <c r="C111" s="401"/>
      <c r="D111" s="401"/>
      <c r="E111" s="380"/>
      <c r="F111" s="400"/>
      <c r="G111" s="354"/>
      <c r="H111" s="2"/>
    </row>
    <row r="112" spans="1:8" ht="12.75" customHeight="1" thickBot="1" x14ac:dyDescent="0.3">
      <c r="A112" s="159"/>
      <c r="B112" s="394"/>
      <c r="C112" s="395"/>
      <c r="D112" s="395"/>
      <c r="E112" s="395"/>
      <c r="F112" s="177"/>
      <c r="G112" s="280"/>
      <c r="H112" s="2"/>
    </row>
    <row r="113" spans="1:8" ht="15.75" customHeight="1" thickBot="1" x14ac:dyDescent="0.3">
      <c r="A113" s="148"/>
      <c r="B113" s="149" t="s">
        <v>259</v>
      </c>
      <c r="C113" s="165"/>
      <c r="D113" s="165"/>
      <c r="E113" s="165"/>
      <c r="F113" s="165"/>
      <c r="G113" s="151"/>
      <c r="H113" s="2"/>
    </row>
    <row r="114" spans="1:8" ht="12.75" customHeight="1" x14ac:dyDescent="0.25">
      <c r="A114" s="152"/>
      <c r="B114" s="101"/>
      <c r="C114" s="153" t="s">
        <v>261</v>
      </c>
      <c r="D114" s="153"/>
      <c r="E114" s="153"/>
      <c r="F114" s="156"/>
      <c r="G114" s="154"/>
      <c r="H114" s="2"/>
    </row>
    <row r="115" spans="1:8" ht="12.75" customHeight="1" x14ac:dyDescent="0.25">
      <c r="A115" s="155"/>
      <c r="B115" s="156"/>
      <c r="C115" s="391"/>
      <c r="D115" s="391"/>
      <c r="E115" s="381"/>
      <c r="F115" s="400"/>
      <c r="G115" s="154"/>
      <c r="H115" s="2"/>
    </row>
    <row r="116" spans="1:8" ht="12.75" customHeight="1" x14ac:dyDescent="0.25">
      <c r="A116" s="155" t="s">
        <v>206</v>
      </c>
      <c r="B116" s="156">
        <v>3852</v>
      </c>
      <c r="C116" s="391" t="s">
        <v>247</v>
      </c>
      <c r="D116" s="391"/>
      <c r="E116" s="381">
        <v>2.2000000000000001E-3</v>
      </c>
      <c r="F116" s="400" t="s">
        <v>302</v>
      </c>
      <c r="G116" s="154"/>
      <c r="H116" s="2"/>
    </row>
    <row r="117" spans="1:8" ht="12.75" customHeight="1" thickBot="1" x14ac:dyDescent="0.3">
      <c r="A117" s="155"/>
      <c r="B117" s="156"/>
      <c r="C117" s="391"/>
      <c r="D117" s="391"/>
      <c r="E117" s="381"/>
      <c r="F117" s="400"/>
      <c r="G117" s="154"/>
      <c r="H117" s="2"/>
    </row>
    <row r="118" spans="1:8" ht="12.75" customHeight="1" thickBot="1" x14ac:dyDescent="0.3">
      <c r="A118" s="402" t="s">
        <v>266</v>
      </c>
      <c r="B118" s="419"/>
      <c r="C118" s="400"/>
      <c r="D118" s="400"/>
      <c r="E118" s="400"/>
      <c r="F118" s="156"/>
      <c r="G118" s="154"/>
      <c r="H118" s="2"/>
    </row>
    <row r="119" spans="1:8" ht="12.75" customHeight="1" thickBot="1" x14ac:dyDescent="0.3">
      <c r="A119" s="159"/>
      <c r="B119" s="357"/>
      <c r="C119" s="177"/>
      <c r="D119" s="177"/>
      <c r="E119" s="177"/>
      <c r="F119" s="177"/>
      <c r="G119" s="280"/>
      <c r="H119" s="2"/>
    </row>
    <row r="120" spans="1:8" ht="15.75" customHeight="1" thickBot="1" x14ac:dyDescent="0.3">
      <c r="A120" s="148"/>
      <c r="B120" s="149" t="s">
        <v>260</v>
      </c>
      <c r="C120" s="165"/>
      <c r="D120" s="165"/>
      <c r="E120" s="165"/>
      <c r="F120" s="165"/>
      <c r="G120" s="151"/>
      <c r="H120" s="2"/>
    </row>
    <row r="121" spans="1:8" ht="12.75" customHeight="1" x14ac:dyDescent="0.25">
      <c r="A121" s="346"/>
      <c r="B121" s="403"/>
      <c r="C121" s="156"/>
      <c r="D121" s="156"/>
      <c r="E121" s="156"/>
      <c r="F121" s="156"/>
      <c r="G121" s="154"/>
      <c r="H121" s="2"/>
    </row>
    <row r="122" spans="1:8" ht="12.75" customHeight="1" x14ac:dyDescent="0.25">
      <c r="A122" s="535" t="s">
        <v>582</v>
      </c>
      <c r="B122" s="536"/>
      <c r="C122" s="536"/>
      <c r="D122" s="536"/>
      <c r="E122" s="536"/>
      <c r="F122" s="536"/>
      <c r="G122" s="537"/>
      <c r="H122" s="2"/>
    </row>
    <row r="123" spans="1:8" ht="12.75" customHeight="1" x14ac:dyDescent="0.25">
      <c r="A123" s="538"/>
      <c r="B123" s="536"/>
      <c r="C123" s="536"/>
      <c r="D123" s="536"/>
      <c r="E123" s="536"/>
      <c r="F123" s="536"/>
      <c r="G123" s="537"/>
      <c r="H123" s="2"/>
    </row>
    <row r="124" spans="1:8" ht="12.75" customHeight="1" x14ac:dyDescent="0.25">
      <c r="A124" s="152"/>
      <c r="B124" s="101"/>
      <c r="C124" s="153" t="s">
        <v>265</v>
      </c>
      <c r="D124" s="153"/>
      <c r="E124" s="153"/>
      <c r="F124" s="156"/>
      <c r="G124" s="154"/>
      <c r="H124" s="2"/>
    </row>
    <row r="125" spans="1:8" ht="12.75" customHeight="1" x14ac:dyDescent="0.25">
      <c r="A125" s="155"/>
      <c r="B125" s="156"/>
      <c r="C125" s="391"/>
      <c r="D125" s="391"/>
      <c r="E125" s="381"/>
      <c r="F125" s="400"/>
      <c r="G125" s="154"/>
      <c r="H125" s="2"/>
    </row>
    <row r="126" spans="1:8" ht="12.75" customHeight="1" x14ac:dyDescent="0.25">
      <c r="A126" s="404" t="s">
        <v>263</v>
      </c>
      <c r="B126" s="156">
        <v>707</v>
      </c>
      <c r="C126" s="391"/>
      <c r="D126" s="391"/>
      <c r="E126" s="381"/>
      <c r="F126" s="400"/>
      <c r="G126" s="154"/>
      <c r="H126" s="2"/>
    </row>
    <row r="127" spans="1:8" ht="12.75" customHeight="1" thickBot="1" x14ac:dyDescent="0.3">
      <c r="A127" s="215"/>
      <c r="B127" s="156"/>
      <c r="C127" s="391"/>
      <c r="D127" s="391"/>
      <c r="E127" s="381"/>
      <c r="F127" s="400"/>
      <c r="G127" s="154"/>
      <c r="H127" s="2"/>
    </row>
    <row r="128" spans="1:8" ht="12.75" customHeight="1" thickBot="1" x14ac:dyDescent="0.3">
      <c r="A128" s="533" t="s">
        <v>262</v>
      </c>
      <c r="B128" s="419"/>
      <c r="C128" s="400"/>
      <c r="D128" s="400"/>
      <c r="E128" s="400"/>
      <c r="F128" s="156"/>
      <c r="G128" s="154"/>
      <c r="H128" s="2"/>
    </row>
    <row r="129" spans="1:8" ht="12.75" customHeight="1" thickBot="1" x14ac:dyDescent="0.3">
      <c r="A129" s="534"/>
      <c r="B129" s="357"/>
      <c r="C129" s="177"/>
      <c r="D129" s="177"/>
      <c r="E129" s="177"/>
      <c r="F129" s="177"/>
      <c r="G129" s="280"/>
      <c r="H129" s="2"/>
    </row>
    <row r="130" spans="1:8" ht="15.75" customHeight="1" thickBot="1" x14ac:dyDescent="0.3">
      <c r="A130" s="148"/>
      <c r="B130" s="149" t="s">
        <v>264</v>
      </c>
      <c r="C130" s="165"/>
      <c r="D130" s="165"/>
      <c r="E130" s="165"/>
      <c r="F130" s="165"/>
      <c r="G130" s="151"/>
      <c r="H130" s="2"/>
    </row>
    <row r="131" spans="1:8" x14ac:dyDescent="0.25">
      <c r="A131" s="405"/>
      <c r="B131" s="406"/>
      <c r="C131" s="407"/>
      <c r="D131" s="407"/>
      <c r="E131" s="407"/>
      <c r="F131" s="407"/>
      <c r="G131" s="408"/>
      <c r="H131" s="2"/>
    </row>
    <row r="132" spans="1:8" x14ac:dyDescent="0.25">
      <c r="A132" s="535" t="s">
        <v>560</v>
      </c>
      <c r="B132" s="539"/>
      <c r="C132" s="539"/>
      <c r="D132" s="539"/>
      <c r="E132" s="539"/>
      <c r="F132" s="539"/>
      <c r="G132" s="540"/>
      <c r="H132" s="2"/>
    </row>
    <row r="133" spans="1:8" x14ac:dyDescent="0.25">
      <c r="A133" s="541"/>
      <c r="B133" s="539"/>
      <c r="C133" s="539"/>
      <c r="D133" s="539"/>
      <c r="E133" s="539"/>
      <c r="F133" s="539"/>
      <c r="G133" s="540"/>
      <c r="H133" s="2"/>
    </row>
    <row r="134" spans="1:8" x14ac:dyDescent="0.25">
      <c r="A134" s="541"/>
      <c r="B134" s="539"/>
      <c r="C134" s="539"/>
      <c r="D134" s="539"/>
      <c r="E134" s="539"/>
      <c r="F134" s="539"/>
      <c r="G134" s="540"/>
      <c r="H134" s="2"/>
    </row>
    <row r="135" spans="1:8" x14ac:dyDescent="0.25">
      <c r="A135" s="152"/>
      <c r="B135" s="101"/>
      <c r="C135" s="153" t="s">
        <v>327</v>
      </c>
      <c r="D135" s="153"/>
      <c r="E135" s="153"/>
      <c r="F135" s="156"/>
      <c r="G135" s="154"/>
      <c r="H135" s="2"/>
    </row>
    <row r="136" spans="1:8" x14ac:dyDescent="0.25">
      <c r="A136" s="155"/>
      <c r="B136" s="156"/>
      <c r="C136" s="168"/>
      <c r="D136" s="168"/>
      <c r="E136" s="381"/>
      <c r="F136" s="400"/>
      <c r="G136" s="154"/>
      <c r="H136" s="2"/>
    </row>
    <row r="137" spans="1:8" x14ac:dyDescent="0.25">
      <c r="A137" s="404" t="s">
        <v>267</v>
      </c>
      <c r="B137" s="156">
        <v>2326</v>
      </c>
      <c r="C137" s="168"/>
      <c r="D137" s="168"/>
      <c r="E137" s="381"/>
      <c r="F137" s="400"/>
      <c r="G137" s="154"/>
      <c r="H137" s="2"/>
    </row>
    <row r="138" spans="1:8" ht="13" thickBot="1" x14ac:dyDescent="0.3">
      <c r="A138" s="215"/>
      <c r="B138" s="156"/>
      <c r="C138" s="168"/>
      <c r="D138" s="168"/>
      <c r="E138" s="381"/>
      <c r="F138" s="400"/>
      <c r="G138" s="154"/>
      <c r="H138" s="2"/>
    </row>
    <row r="139" spans="1:8" ht="13" thickBot="1" x14ac:dyDescent="0.3">
      <c r="A139" s="533" t="s">
        <v>268</v>
      </c>
      <c r="B139" s="419"/>
      <c r="C139" s="400"/>
      <c r="D139" s="400"/>
      <c r="E139" s="400"/>
      <c r="F139" s="156"/>
      <c r="G139" s="154"/>
      <c r="H139" s="2"/>
    </row>
    <row r="140" spans="1:8" x14ac:dyDescent="0.25">
      <c r="A140" s="538"/>
      <c r="B140" s="352"/>
      <c r="C140" s="156"/>
      <c r="D140" s="156"/>
      <c r="E140" s="156"/>
      <c r="F140" s="156"/>
      <c r="G140" s="154"/>
      <c r="H140" s="2"/>
    </row>
    <row r="141" spans="1:8" x14ac:dyDescent="0.25">
      <c r="A141" s="409"/>
      <c r="B141" s="352"/>
      <c r="C141" s="153" t="s">
        <v>328</v>
      </c>
      <c r="D141" s="153"/>
      <c r="E141" s="156"/>
      <c r="F141" s="156"/>
      <c r="G141" s="154"/>
      <c r="H141" s="2"/>
    </row>
    <row r="142" spans="1:8" x14ac:dyDescent="0.25">
      <c r="A142" s="409"/>
      <c r="B142" s="352"/>
      <c r="C142" s="153"/>
      <c r="D142" s="153"/>
      <c r="E142" s="156"/>
      <c r="F142" s="156"/>
      <c r="G142" s="154"/>
      <c r="H142" s="2"/>
    </row>
    <row r="143" spans="1:8" x14ac:dyDescent="0.25">
      <c r="A143" s="404" t="s">
        <v>269</v>
      </c>
      <c r="B143" s="167">
        <v>131</v>
      </c>
      <c r="C143" s="264"/>
      <c r="D143" s="264"/>
      <c r="E143" s="264"/>
      <c r="G143" s="217"/>
    </row>
    <row r="144" spans="1:8" ht="13" thickBot="1" x14ac:dyDescent="0.3">
      <c r="A144" s="215"/>
      <c r="B144" s="156"/>
      <c r="C144" s="264"/>
      <c r="D144" s="264"/>
      <c r="E144" s="264"/>
      <c r="G144" s="217"/>
    </row>
    <row r="145" spans="1:7" ht="13" thickBot="1" x14ac:dyDescent="0.3">
      <c r="A145" s="533" t="s">
        <v>270</v>
      </c>
      <c r="B145" s="419"/>
      <c r="C145" s="264"/>
      <c r="D145" s="264"/>
      <c r="E145" s="264"/>
      <c r="G145" s="217"/>
    </row>
    <row r="146" spans="1:7" ht="13" thickBot="1" x14ac:dyDescent="0.3">
      <c r="A146" s="534"/>
      <c r="B146" s="357"/>
      <c r="C146" s="410"/>
      <c r="D146" s="410"/>
      <c r="E146" s="410"/>
      <c r="F146" s="256"/>
      <c r="G146" s="411"/>
    </row>
    <row r="147" spans="1:7" x14ac:dyDescent="0.25">
      <c r="C147" s="173"/>
      <c r="D147" s="173"/>
      <c r="E147" s="173"/>
    </row>
    <row r="148" spans="1:7" x14ac:dyDescent="0.25">
      <c r="A148" s="79" t="s">
        <v>567</v>
      </c>
      <c r="C148" s="173"/>
      <c r="D148" s="173"/>
      <c r="E148" s="173"/>
    </row>
    <row r="149" spans="1:7" x14ac:dyDescent="0.25">
      <c r="C149" s="173"/>
      <c r="D149" s="173"/>
      <c r="E149" s="173"/>
    </row>
    <row r="150" spans="1:7" x14ac:dyDescent="0.25">
      <c r="C150" s="173"/>
      <c r="D150" s="173"/>
      <c r="E150" s="173"/>
    </row>
    <row r="151" spans="1:7" x14ac:dyDescent="0.25">
      <c r="C151" s="173"/>
      <c r="D151" s="173"/>
      <c r="E151" s="173"/>
    </row>
    <row r="152" spans="1:7" x14ac:dyDescent="0.25">
      <c r="C152" s="173"/>
      <c r="D152" s="173"/>
      <c r="E152" s="173"/>
    </row>
    <row r="153" spans="1:7" x14ac:dyDescent="0.25">
      <c r="C153" s="173"/>
      <c r="D153" s="173"/>
      <c r="E153" s="173"/>
    </row>
    <row r="154" spans="1:7" x14ac:dyDescent="0.25">
      <c r="C154" s="173"/>
      <c r="D154" s="173"/>
      <c r="E154" s="173"/>
    </row>
    <row r="155" spans="1:7" x14ac:dyDescent="0.25">
      <c r="C155" s="173"/>
      <c r="D155" s="173"/>
      <c r="E155" s="173"/>
    </row>
  </sheetData>
  <sheetProtection algorithmName="SHA-512" hashValue="3dSPwfG7O0f8Nhit62wMOJmEiBmHolR92H2UqpXV5nQEvE1+6gLtj9IuYehtw/GSSazUSXisWGN67DOJ+mYe7w==" saltValue="/j7LFHN0zzJXztjIUwJoUw==" spinCount="100000" sheet="1" insertRows="0" selectLockedCells="1"/>
  <customSheetViews>
    <customSheetView guid="{0CFDFAE3-BA5A-49B1-8AEF-ACE06B5A41A2}">
      <selection activeCell="B93" sqref="B93"/>
      <rowBreaks count="2" manualBreakCount="2">
        <brk id="60" max="16383" man="1"/>
        <brk id="113" max="16383" man="1"/>
      </rowBreaks>
      <pageMargins left="0" right="0" top="0.51" bottom="0.4" header="0.23" footer="0.17"/>
      <printOptions horizontalCentered="1"/>
      <pageSetup scale="92" orientation="portrait" r:id="rId1"/>
      <headerFooter alignWithMargins="0">
        <oddFooter>&amp;LFees Effective 07/01/2011&amp;RPage &amp;P of &amp;N</oddFooter>
      </headerFooter>
    </customSheetView>
  </customSheetViews>
  <mergeCells count="9">
    <mergeCell ref="C13:F13"/>
    <mergeCell ref="C14:E14"/>
    <mergeCell ref="A68:F70"/>
    <mergeCell ref="A103:G104"/>
    <mergeCell ref="A145:A146"/>
    <mergeCell ref="A122:G123"/>
    <mergeCell ref="A128:A129"/>
    <mergeCell ref="A139:A140"/>
    <mergeCell ref="A132:G134"/>
  </mergeCells>
  <phoneticPr fontId="0" type="noConversion"/>
  <dataValidations count="1">
    <dataValidation type="list" allowBlank="1" showInputMessage="1" showErrorMessage="1" sqref="B118 B60 B145 B139 B128" xr:uid="{00000000-0002-0000-0600-000000000000}">
      <formula1>"Yes,No"</formula1>
    </dataValidation>
  </dataValidations>
  <printOptions horizontalCentered="1"/>
  <pageMargins left="0.25" right="0.25" top="0.25" bottom="0.25" header="0.3" footer="0.3"/>
  <pageSetup scale="92" orientation="portrait" r:id="rId2"/>
  <headerFooter alignWithMargins="0">
    <oddFooter>&amp;LFees Effective 07/01/2025&amp;RPage &amp;P of &amp;N</oddFooter>
  </headerFooter>
  <rowBreaks count="2" manualBreakCount="2">
    <brk id="58" max="6" man="1"/>
    <brk id="112" max="6"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6"/>
  <sheetViews>
    <sheetView zoomScaleNormal="100" zoomScaleSheetLayoutView="99" workbookViewId="0">
      <selection activeCell="B14" sqref="B14"/>
    </sheetView>
  </sheetViews>
  <sheetFormatPr defaultColWidth="9.08984375" defaultRowHeight="12.5" x14ac:dyDescent="0.25"/>
  <cols>
    <col min="1" max="1" width="48.90625" customWidth="1"/>
    <col min="2" max="2" width="11.453125" style="172" bestFit="1" customWidth="1"/>
    <col min="3" max="3" width="12.54296875" style="174" customWidth="1"/>
    <col min="4" max="4" width="12.54296875" style="174" hidden="1" customWidth="1"/>
    <col min="5" max="5" width="5.08984375" style="174" customWidth="1"/>
    <col min="6" max="6" width="13.453125" customWidth="1"/>
    <col min="7" max="7" width="14.08984375" customWidth="1"/>
  </cols>
  <sheetData>
    <row r="1" spans="1:9" ht="13" x14ac:dyDescent="0.3">
      <c r="A1" s="2"/>
      <c r="B1" s="99"/>
      <c r="C1" s="100"/>
      <c r="D1" s="100"/>
      <c r="E1" s="100"/>
      <c r="F1" s="2"/>
      <c r="G1" s="2"/>
      <c r="H1" s="2"/>
      <c r="I1" s="2"/>
    </row>
    <row r="2" spans="1:9" ht="13" x14ac:dyDescent="0.3">
      <c r="A2" s="2"/>
      <c r="B2" s="99"/>
      <c r="C2" s="100"/>
      <c r="D2" s="100"/>
      <c r="E2" s="100"/>
      <c r="F2" s="2"/>
      <c r="G2" s="2"/>
      <c r="H2" s="2"/>
      <c r="I2" s="2"/>
    </row>
    <row r="3" spans="1:9" x14ac:dyDescent="0.25">
      <c r="A3" s="2"/>
      <c r="B3" s="101"/>
      <c r="C3" s="100"/>
      <c r="D3" s="100"/>
      <c r="E3" s="100"/>
      <c r="F3" s="2"/>
      <c r="G3" s="2"/>
      <c r="H3" s="2"/>
      <c r="I3" s="2"/>
    </row>
    <row r="4" spans="1:9" x14ac:dyDescent="0.25">
      <c r="A4" s="2"/>
      <c r="B4" s="101"/>
      <c r="C4" s="100"/>
      <c r="D4" s="100"/>
      <c r="E4" s="100"/>
      <c r="F4" s="2"/>
      <c r="G4" s="2"/>
      <c r="H4" s="2"/>
      <c r="I4" s="2"/>
    </row>
    <row r="5" spans="1:9" x14ac:dyDescent="0.25">
      <c r="A5" s="2"/>
      <c r="B5" s="101"/>
      <c r="C5" s="100"/>
      <c r="D5" s="100"/>
      <c r="E5" s="100"/>
      <c r="F5" s="2"/>
      <c r="G5" s="2"/>
      <c r="H5" s="2"/>
      <c r="I5" s="2"/>
    </row>
    <row r="6" spans="1:9" x14ac:dyDescent="0.25">
      <c r="A6" s="2"/>
      <c r="B6" s="101"/>
      <c r="C6" s="100"/>
      <c r="D6" s="100"/>
      <c r="E6" s="100"/>
      <c r="F6" s="2"/>
      <c r="G6" s="2"/>
      <c r="H6" s="2"/>
      <c r="I6" s="2"/>
    </row>
    <row r="7" spans="1:9" x14ac:dyDescent="0.25">
      <c r="A7" s="2"/>
      <c r="B7" s="101"/>
      <c r="C7" s="100"/>
      <c r="D7" s="100"/>
      <c r="E7" s="100"/>
      <c r="F7" s="2"/>
      <c r="G7" s="2"/>
      <c r="H7" s="2"/>
      <c r="I7" s="2"/>
    </row>
    <row r="8" spans="1:9" x14ac:dyDescent="0.25">
      <c r="A8" s="2"/>
      <c r="B8" s="101"/>
      <c r="C8" s="100"/>
      <c r="D8" s="100"/>
      <c r="E8" s="100"/>
      <c r="F8" s="2"/>
      <c r="G8" s="2"/>
      <c r="H8" s="2"/>
      <c r="I8" s="2"/>
    </row>
    <row r="9" spans="1:9" x14ac:dyDescent="0.25">
      <c r="A9" s="2"/>
      <c r="B9" s="101"/>
      <c r="C9" s="100"/>
      <c r="D9" s="100"/>
      <c r="E9" s="100"/>
      <c r="F9" s="2"/>
      <c r="G9" s="2"/>
      <c r="H9" s="2"/>
      <c r="I9" s="2"/>
    </row>
    <row r="10" spans="1:9" ht="13" thickBot="1" x14ac:dyDescent="0.3">
      <c r="A10" s="2"/>
      <c r="B10" s="101"/>
      <c r="C10" s="100"/>
      <c r="D10" s="100"/>
      <c r="E10" s="100"/>
      <c r="F10" s="2"/>
      <c r="G10" s="2"/>
      <c r="H10" s="2"/>
      <c r="I10" s="2"/>
    </row>
    <row r="11" spans="1:9" ht="13.5" thickBot="1" x14ac:dyDescent="0.35">
      <c r="A11" s="102" t="s">
        <v>0</v>
      </c>
      <c r="B11" s="103" t="s">
        <v>1</v>
      </c>
      <c r="C11" s="518" t="s">
        <v>2</v>
      </c>
      <c r="D11" s="519"/>
      <c r="E11" s="519"/>
      <c r="F11" s="520"/>
      <c r="G11" s="102" t="s">
        <v>3</v>
      </c>
      <c r="H11" s="2"/>
      <c r="I11" s="2"/>
    </row>
    <row r="12" spans="1:9" x14ac:dyDescent="0.25">
      <c r="A12" s="104"/>
      <c r="B12" s="105"/>
      <c r="C12" s="485"/>
      <c r="D12" s="486"/>
      <c r="E12" s="487"/>
      <c r="F12" s="80"/>
      <c r="G12" s="106"/>
      <c r="H12" s="2"/>
      <c r="I12" s="2"/>
    </row>
    <row r="13" spans="1:9" x14ac:dyDescent="0.25">
      <c r="A13" s="107" t="s">
        <v>4</v>
      </c>
      <c r="B13" s="108"/>
      <c r="C13" s="109"/>
      <c r="D13" s="119"/>
      <c r="E13" s="110"/>
      <c r="F13" s="111"/>
      <c r="G13" s="51"/>
      <c r="H13" s="2"/>
      <c r="I13" s="2"/>
    </row>
    <row r="14" spans="1:9" x14ac:dyDescent="0.25">
      <c r="A14" s="107" t="s">
        <v>5</v>
      </c>
      <c r="B14" s="3"/>
      <c r="C14" s="53">
        <f>ROUND(CPI*D14,2)</f>
        <v>1.49</v>
      </c>
      <c r="D14" s="53">
        <v>1.04</v>
      </c>
      <c r="E14" s="110" t="s">
        <v>60</v>
      </c>
      <c r="F14" s="112"/>
      <c r="G14" s="51">
        <f>B14*C14</f>
        <v>0</v>
      </c>
      <c r="H14" s="2"/>
      <c r="I14" s="2"/>
    </row>
    <row r="15" spans="1:9" x14ac:dyDescent="0.25">
      <c r="A15" s="107" t="s">
        <v>6</v>
      </c>
      <c r="B15" s="3"/>
      <c r="C15" s="53">
        <f>ROUND(CPI*D15,2)</f>
        <v>1.9</v>
      </c>
      <c r="D15" s="53">
        <v>1.33</v>
      </c>
      <c r="E15" s="110" t="s">
        <v>60</v>
      </c>
      <c r="F15" s="112"/>
      <c r="G15" s="51">
        <f>B15*C15</f>
        <v>0</v>
      </c>
      <c r="H15" s="2"/>
      <c r="I15" s="2"/>
    </row>
    <row r="16" spans="1:9" x14ac:dyDescent="0.25">
      <c r="A16" s="107" t="s">
        <v>7</v>
      </c>
      <c r="B16" s="3"/>
      <c r="C16" s="53">
        <f>ROUND(CPI*D16,2)</f>
        <v>2.35</v>
      </c>
      <c r="D16" s="53">
        <v>1.64</v>
      </c>
      <c r="E16" s="110" t="s">
        <v>60</v>
      </c>
      <c r="F16" s="112"/>
      <c r="G16" s="51">
        <f>B16*C16</f>
        <v>0</v>
      </c>
      <c r="H16" s="2"/>
      <c r="I16" s="2"/>
    </row>
    <row r="17" spans="1:9" x14ac:dyDescent="0.25">
      <c r="A17" s="107" t="s">
        <v>8</v>
      </c>
      <c r="B17" s="3"/>
      <c r="C17" s="53">
        <f>ROUND(CPI*D17,2)</f>
        <v>3.19</v>
      </c>
      <c r="D17" s="53">
        <v>2.23</v>
      </c>
      <c r="E17" s="110" t="s">
        <v>60</v>
      </c>
      <c r="F17" s="112"/>
      <c r="G17" s="51">
        <f>B17*C17</f>
        <v>0</v>
      </c>
      <c r="H17" s="2"/>
      <c r="I17" s="2"/>
    </row>
    <row r="18" spans="1:9" x14ac:dyDescent="0.25">
      <c r="A18" s="548" t="s">
        <v>491</v>
      </c>
      <c r="B18" s="3"/>
      <c r="C18" s="45">
        <v>0</v>
      </c>
      <c r="D18" s="53"/>
      <c r="E18" s="110" t="s">
        <v>60</v>
      </c>
      <c r="F18" s="112"/>
      <c r="G18" s="51">
        <f>B18*C18</f>
        <v>0</v>
      </c>
      <c r="H18" s="2"/>
      <c r="I18" s="2"/>
    </row>
    <row r="19" spans="1:9" x14ac:dyDescent="0.25">
      <c r="A19" s="107"/>
      <c r="B19" s="108"/>
      <c r="C19" s="109"/>
      <c r="D19" s="53"/>
      <c r="E19" s="110"/>
      <c r="F19" s="111"/>
      <c r="G19" s="51"/>
      <c r="H19" s="2"/>
      <c r="I19" s="2"/>
    </row>
    <row r="20" spans="1:9" x14ac:dyDescent="0.25">
      <c r="A20" s="107" t="s">
        <v>9</v>
      </c>
      <c r="B20" s="108"/>
      <c r="C20" s="109"/>
      <c r="D20" s="53"/>
      <c r="E20" s="110"/>
      <c r="F20" s="111"/>
      <c r="G20" s="51"/>
      <c r="H20" s="2"/>
      <c r="I20" s="2"/>
    </row>
    <row r="21" spans="1:9" x14ac:dyDescent="0.25">
      <c r="A21" s="107" t="s">
        <v>10</v>
      </c>
      <c r="B21" s="3"/>
      <c r="C21" s="53">
        <f>ROUND(CPI*D21,2)</f>
        <v>6.14</v>
      </c>
      <c r="D21" s="53">
        <v>4.29</v>
      </c>
      <c r="E21" s="110" t="s">
        <v>60</v>
      </c>
      <c r="F21" s="112"/>
      <c r="G21" s="51">
        <f t="shared" ref="G21:G26" si="0">B21*C21</f>
        <v>0</v>
      </c>
      <c r="H21" s="2"/>
      <c r="I21" s="2"/>
    </row>
    <row r="22" spans="1:9" x14ac:dyDescent="0.25">
      <c r="A22" s="107" t="s">
        <v>13</v>
      </c>
      <c r="B22" s="3"/>
      <c r="C22" s="53">
        <f>ROUND(CPI*D22,2)</f>
        <v>5.97</v>
      </c>
      <c r="D22" s="53">
        <v>4.17</v>
      </c>
      <c r="E22" s="110" t="s">
        <v>60</v>
      </c>
      <c r="F22" s="112"/>
      <c r="G22" s="51">
        <f t="shared" si="0"/>
        <v>0</v>
      </c>
      <c r="H22" s="2"/>
      <c r="I22" s="2"/>
    </row>
    <row r="23" spans="1:9" x14ac:dyDescent="0.25">
      <c r="A23" s="107" t="s">
        <v>15</v>
      </c>
      <c r="B23" s="3"/>
      <c r="C23" s="53">
        <f>ROUND(CPI*D23,2)</f>
        <v>6.57</v>
      </c>
      <c r="D23" s="53">
        <v>4.59</v>
      </c>
      <c r="E23" s="110" t="s">
        <v>60</v>
      </c>
      <c r="F23" s="112"/>
      <c r="G23" s="51">
        <f t="shared" si="0"/>
        <v>0</v>
      </c>
      <c r="H23" s="2"/>
      <c r="I23" s="2"/>
    </row>
    <row r="24" spans="1:9" x14ac:dyDescent="0.25">
      <c r="A24" s="107" t="s">
        <v>85</v>
      </c>
      <c r="B24" s="3"/>
      <c r="C24" s="53">
        <f>ROUND(CPI*D24,2)</f>
        <v>2957.89</v>
      </c>
      <c r="D24" s="53">
        <v>2066.4499999999998</v>
      </c>
      <c r="E24" s="110" t="s">
        <v>57</v>
      </c>
      <c r="F24" s="119"/>
      <c r="G24" s="51">
        <f t="shared" si="0"/>
        <v>0</v>
      </c>
      <c r="H24" s="2"/>
      <c r="I24" s="2"/>
    </row>
    <row r="25" spans="1:9" x14ac:dyDescent="0.25">
      <c r="A25" s="107" t="s">
        <v>19</v>
      </c>
      <c r="B25" s="3"/>
      <c r="C25" s="53">
        <f>ROUND(CPI*D25,2)</f>
        <v>1059.08</v>
      </c>
      <c r="D25" s="53">
        <v>739.9</v>
      </c>
      <c r="E25" s="110" t="s">
        <v>61</v>
      </c>
      <c r="F25" s="112"/>
      <c r="G25" s="51">
        <f t="shared" si="0"/>
        <v>0</v>
      </c>
      <c r="H25" s="2"/>
      <c r="I25" s="2"/>
    </row>
    <row r="26" spans="1:9" x14ac:dyDescent="0.25">
      <c r="A26" s="548" t="s">
        <v>491</v>
      </c>
      <c r="B26" s="3"/>
      <c r="C26" s="45">
        <v>0</v>
      </c>
      <c r="D26" s="45"/>
      <c r="E26" s="49"/>
      <c r="F26" s="112"/>
      <c r="G26" s="51">
        <f t="shared" si="0"/>
        <v>0</v>
      </c>
      <c r="H26" s="2"/>
      <c r="I26" s="2"/>
    </row>
    <row r="27" spans="1:9" x14ac:dyDescent="0.25">
      <c r="A27" s="107"/>
      <c r="B27" s="108"/>
      <c r="C27" s="109"/>
      <c r="D27" s="53"/>
      <c r="E27" s="110"/>
      <c r="F27" s="111"/>
      <c r="G27" s="51"/>
      <c r="H27" s="2"/>
      <c r="I27" s="2"/>
    </row>
    <row r="28" spans="1:9" x14ac:dyDescent="0.25">
      <c r="A28" s="107" t="s">
        <v>20</v>
      </c>
      <c r="B28" s="108"/>
      <c r="C28" s="109"/>
      <c r="D28" s="53"/>
      <c r="E28" s="110"/>
      <c r="F28" s="111"/>
      <c r="G28" s="51"/>
      <c r="H28" s="2"/>
      <c r="I28" s="2"/>
    </row>
    <row r="29" spans="1:9" x14ac:dyDescent="0.25">
      <c r="A29" s="107" t="s">
        <v>21</v>
      </c>
      <c r="B29" s="3"/>
      <c r="C29" s="53">
        <f t="shared" ref="C29:C34" si="1">ROUND(CPI*D29,2)</f>
        <v>18.149999999999999</v>
      </c>
      <c r="D29" s="53">
        <v>12.68</v>
      </c>
      <c r="E29" s="110" t="s">
        <v>58</v>
      </c>
      <c r="F29" s="112"/>
      <c r="G29" s="51">
        <f t="shared" ref="G29:G35" si="2">B29*C29</f>
        <v>0</v>
      </c>
      <c r="H29" s="2"/>
      <c r="I29" s="2"/>
    </row>
    <row r="30" spans="1:9" x14ac:dyDescent="0.25">
      <c r="A30" s="107" t="s">
        <v>82</v>
      </c>
      <c r="B30" s="3"/>
      <c r="C30" s="53">
        <f t="shared" si="1"/>
        <v>23.45</v>
      </c>
      <c r="D30" s="53">
        <v>16.38</v>
      </c>
      <c r="E30" s="110" t="s">
        <v>58</v>
      </c>
      <c r="F30" s="112"/>
      <c r="G30" s="51">
        <f t="shared" si="2"/>
        <v>0</v>
      </c>
      <c r="H30" s="2"/>
      <c r="I30" s="2"/>
    </row>
    <row r="31" spans="1:9" x14ac:dyDescent="0.25">
      <c r="A31" s="107" t="s">
        <v>81</v>
      </c>
      <c r="B31" s="3"/>
      <c r="C31" s="53">
        <f t="shared" si="1"/>
        <v>27.24</v>
      </c>
      <c r="D31" s="53">
        <v>19.03</v>
      </c>
      <c r="E31" s="110" t="s">
        <v>58</v>
      </c>
      <c r="F31" s="112"/>
      <c r="G31" s="51">
        <f t="shared" si="2"/>
        <v>0</v>
      </c>
      <c r="H31" s="2"/>
      <c r="I31" s="2"/>
    </row>
    <row r="32" spans="1:9" x14ac:dyDescent="0.25">
      <c r="A32" s="107" t="s">
        <v>86</v>
      </c>
      <c r="B32" s="3"/>
      <c r="C32" s="53">
        <f t="shared" si="1"/>
        <v>23.45</v>
      </c>
      <c r="D32" s="53">
        <v>16.38</v>
      </c>
      <c r="E32" s="110" t="s">
        <v>58</v>
      </c>
      <c r="F32" s="112"/>
      <c r="G32" s="51">
        <f t="shared" si="2"/>
        <v>0</v>
      </c>
      <c r="H32" s="2"/>
      <c r="I32" s="2"/>
    </row>
    <row r="33" spans="1:9" x14ac:dyDescent="0.25">
      <c r="A33" s="107" t="s">
        <v>22</v>
      </c>
      <c r="B33" s="3"/>
      <c r="C33" s="53">
        <f t="shared" si="1"/>
        <v>23.45</v>
      </c>
      <c r="D33" s="53">
        <v>16.38</v>
      </c>
      <c r="E33" s="110" t="s">
        <v>58</v>
      </c>
      <c r="F33" s="112"/>
      <c r="G33" s="51">
        <f t="shared" si="2"/>
        <v>0</v>
      </c>
      <c r="H33" s="2"/>
      <c r="I33" s="2"/>
    </row>
    <row r="34" spans="1:9" x14ac:dyDescent="0.25">
      <c r="A34" s="107" t="s">
        <v>23</v>
      </c>
      <c r="B34" s="3"/>
      <c r="C34" s="53">
        <f t="shared" si="1"/>
        <v>23.45</v>
      </c>
      <c r="D34" s="53">
        <v>16.38</v>
      </c>
      <c r="E34" s="110" t="s">
        <v>58</v>
      </c>
      <c r="F34" s="112"/>
      <c r="G34" s="51">
        <f t="shared" si="2"/>
        <v>0</v>
      </c>
      <c r="H34" s="2"/>
      <c r="I34" s="2"/>
    </row>
    <row r="35" spans="1:9" x14ac:dyDescent="0.25">
      <c r="A35" s="548" t="s">
        <v>491</v>
      </c>
      <c r="B35" s="3"/>
      <c r="C35" s="45">
        <v>0</v>
      </c>
      <c r="D35" s="45"/>
      <c r="E35" s="49"/>
      <c r="F35" s="112"/>
      <c r="G35" s="51">
        <f t="shared" si="2"/>
        <v>0</v>
      </c>
      <c r="H35" s="2"/>
      <c r="I35" s="2"/>
    </row>
    <row r="36" spans="1:9" x14ac:dyDescent="0.25">
      <c r="A36" s="107"/>
      <c r="B36" s="108"/>
      <c r="C36" s="109"/>
      <c r="D36" s="53"/>
      <c r="E36" s="110"/>
      <c r="F36" s="111"/>
      <c r="G36" s="51"/>
      <c r="H36" s="2"/>
      <c r="I36" s="2"/>
    </row>
    <row r="37" spans="1:9" x14ac:dyDescent="0.25">
      <c r="A37" s="107" t="s">
        <v>24</v>
      </c>
      <c r="B37" s="108"/>
      <c r="C37" s="109"/>
      <c r="D37" s="53"/>
      <c r="E37" s="110"/>
      <c r="F37" s="111"/>
      <c r="G37" s="51"/>
      <c r="H37" s="2"/>
      <c r="I37" s="2"/>
    </row>
    <row r="38" spans="1:9" x14ac:dyDescent="0.25">
      <c r="A38" s="107" t="s">
        <v>92</v>
      </c>
      <c r="B38" s="3"/>
      <c r="C38" s="53">
        <f t="shared" ref="C38:C50" si="3">ROUND(CPI*D38,2)</f>
        <v>117.26</v>
      </c>
      <c r="D38" s="53">
        <v>81.92</v>
      </c>
      <c r="E38" s="110" t="s">
        <v>61</v>
      </c>
      <c r="F38" s="112"/>
      <c r="G38" s="51">
        <f t="shared" ref="G38:G53" si="4">B38*C38</f>
        <v>0</v>
      </c>
      <c r="H38" s="2"/>
      <c r="I38" s="2"/>
    </row>
    <row r="39" spans="1:9" x14ac:dyDescent="0.25">
      <c r="A39" s="107" t="s">
        <v>93</v>
      </c>
      <c r="B39" s="3"/>
      <c r="C39" s="53">
        <f t="shared" si="3"/>
        <v>117.26</v>
      </c>
      <c r="D39" s="53">
        <v>81.92</v>
      </c>
      <c r="E39" s="110" t="s">
        <v>61</v>
      </c>
      <c r="F39" s="112"/>
      <c r="G39" s="51">
        <f t="shared" si="4"/>
        <v>0</v>
      </c>
      <c r="H39" s="2"/>
      <c r="I39" s="2"/>
    </row>
    <row r="40" spans="1:9" x14ac:dyDescent="0.25">
      <c r="A40" s="107" t="s">
        <v>77</v>
      </c>
      <c r="B40" s="3"/>
      <c r="C40" s="53">
        <f t="shared" si="3"/>
        <v>3.94</v>
      </c>
      <c r="D40" s="53">
        <v>2.75</v>
      </c>
      <c r="E40" s="110" t="s">
        <v>58</v>
      </c>
      <c r="F40" s="112"/>
      <c r="G40" s="51">
        <f t="shared" si="4"/>
        <v>0</v>
      </c>
      <c r="H40" s="2"/>
      <c r="I40" s="2"/>
    </row>
    <row r="41" spans="1:9" x14ac:dyDescent="0.25">
      <c r="A41" s="107" t="s">
        <v>75</v>
      </c>
      <c r="B41" s="3"/>
      <c r="C41" s="53">
        <f t="shared" si="3"/>
        <v>467.51</v>
      </c>
      <c r="D41" s="53">
        <v>326.61</v>
      </c>
      <c r="E41" s="110" t="s">
        <v>61</v>
      </c>
      <c r="F41" s="119"/>
      <c r="G41" s="51">
        <f t="shared" si="4"/>
        <v>0</v>
      </c>
      <c r="H41" s="2"/>
      <c r="I41" s="2"/>
    </row>
    <row r="42" spans="1:9" x14ac:dyDescent="0.25">
      <c r="A42" s="107" t="s">
        <v>76</v>
      </c>
      <c r="B42" s="3"/>
      <c r="C42" s="53">
        <f t="shared" si="3"/>
        <v>779.19</v>
      </c>
      <c r="D42" s="53">
        <v>544.36</v>
      </c>
      <c r="E42" s="110" t="s">
        <v>61</v>
      </c>
      <c r="F42" s="119"/>
      <c r="G42" s="51">
        <f t="shared" si="4"/>
        <v>0</v>
      </c>
      <c r="H42" s="2"/>
      <c r="I42" s="2"/>
    </row>
    <row r="43" spans="1:9" x14ac:dyDescent="0.25">
      <c r="A43" s="107" t="s">
        <v>80</v>
      </c>
      <c r="B43" s="3"/>
      <c r="C43" s="53">
        <f t="shared" si="3"/>
        <v>93.8</v>
      </c>
      <c r="D43" s="53">
        <v>65.53</v>
      </c>
      <c r="E43" s="110" t="s">
        <v>61</v>
      </c>
      <c r="F43" s="112"/>
      <c r="G43" s="51">
        <f t="shared" si="4"/>
        <v>0</v>
      </c>
      <c r="H43" s="2"/>
      <c r="I43" s="2"/>
    </row>
    <row r="44" spans="1:9" x14ac:dyDescent="0.25">
      <c r="A44" s="107" t="s">
        <v>88</v>
      </c>
      <c r="B44" s="3"/>
      <c r="C44" s="53">
        <f t="shared" si="3"/>
        <v>93.8</v>
      </c>
      <c r="D44" s="53">
        <v>65.53</v>
      </c>
      <c r="E44" s="110" t="s">
        <v>61</v>
      </c>
      <c r="F44" s="112"/>
      <c r="G44" s="51">
        <f t="shared" si="4"/>
        <v>0</v>
      </c>
      <c r="H44" s="2"/>
      <c r="I44" s="2"/>
    </row>
    <row r="45" spans="1:9" x14ac:dyDescent="0.25">
      <c r="A45" s="107" t="s">
        <v>89</v>
      </c>
      <c r="B45" s="3"/>
      <c r="C45" s="53">
        <f t="shared" si="3"/>
        <v>78.67</v>
      </c>
      <c r="D45" s="53">
        <v>54.96</v>
      </c>
      <c r="E45" s="110" t="s">
        <v>61</v>
      </c>
      <c r="F45" s="112"/>
      <c r="G45" s="51">
        <f t="shared" si="4"/>
        <v>0</v>
      </c>
      <c r="H45" s="2"/>
      <c r="I45" s="2"/>
    </row>
    <row r="46" spans="1:9" x14ac:dyDescent="0.25">
      <c r="A46" s="107" t="s">
        <v>83</v>
      </c>
      <c r="B46" s="3"/>
      <c r="C46" s="53">
        <f t="shared" si="3"/>
        <v>18.920000000000002</v>
      </c>
      <c r="D46" s="53">
        <v>13.22</v>
      </c>
      <c r="E46" s="110" t="s">
        <v>58</v>
      </c>
      <c r="F46" s="112"/>
      <c r="G46" s="51">
        <f t="shared" si="4"/>
        <v>0</v>
      </c>
      <c r="H46" s="2"/>
      <c r="I46" s="2"/>
    </row>
    <row r="47" spans="1:9" ht="12.75" customHeight="1" x14ac:dyDescent="0.25">
      <c r="A47" s="107" t="s">
        <v>221</v>
      </c>
      <c r="B47" s="3"/>
      <c r="C47" s="53">
        <f t="shared" si="3"/>
        <v>46.91</v>
      </c>
      <c r="D47" s="53">
        <v>32.770000000000003</v>
      </c>
      <c r="E47" s="110" t="s">
        <v>58</v>
      </c>
      <c r="F47" s="112"/>
      <c r="G47" s="51">
        <f t="shared" si="4"/>
        <v>0</v>
      </c>
      <c r="H47" s="2"/>
      <c r="I47" s="2"/>
    </row>
    <row r="48" spans="1:9" ht="12.75" customHeight="1" x14ac:dyDescent="0.25">
      <c r="A48" s="107" t="s">
        <v>28</v>
      </c>
      <c r="B48" s="3"/>
      <c r="C48" s="53">
        <f t="shared" si="3"/>
        <v>31.18</v>
      </c>
      <c r="D48" s="53">
        <v>21.78</v>
      </c>
      <c r="E48" s="110" t="s">
        <v>58</v>
      </c>
      <c r="F48" s="112"/>
      <c r="G48" s="51">
        <f t="shared" si="4"/>
        <v>0</v>
      </c>
      <c r="H48" s="2"/>
      <c r="I48" s="2"/>
    </row>
    <row r="49" spans="1:13" ht="12.75" customHeight="1" x14ac:dyDescent="0.25">
      <c r="A49" s="107" t="s">
        <v>29</v>
      </c>
      <c r="B49" s="3"/>
      <c r="C49" s="53">
        <f t="shared" si="3"/>
        <v>42.37</v>
      </c>
      <c r="D49" s="53">
        <v>29.6</v>
      </c>
      <c r="E49" s="110" t="s">
        <v>58</v>
      </c>
      <c r="F49" s="112"/>
      <c r="G49" s="51">
        <f t="shared" si="4"/>
        <v>0</v>
      </c>
      <c r="H49" s="2"/>
      <c r="I49" s="2"/>
    </row>
    <row r="50" spans="1:13" ht="12.75" customHeight="1" x14ac:dyDescent="0.25">
      <c r="A50" s="107" t="s">
        <v>30</v>
      </c>
      <c r="B50" s="3"/>
      <c r="C50" s="53">
        <f t="shared" si="3"/>
        <v>810.97</v>
      </c>
      <c r="D50" s="53">
        <v>566.55999999999995</v>
      </c>
      <c r="E50" s="110" t="s">
        <v>57</v>
      </c>
      <c r="F50" s="112"/>
      <c r="G50" s="51">
        <f t="shared" si="4"/>
        <v>0</v>
      </c>
      <c r="H50" s="2"/>
      <c r="I50" s="2"/>
    </row>
    <row r="51" spans="1:13" ht="12.75" customHeight="1" x14ac:dyDescent="0.25">
      <c r="A51" s="107" t="s">
        <v>491</v>
      </c>
      <c r="B51" s="3"/>
      <c r="C51" s="11">
        <v>0</v>
      </c>
      <c r="D51" s="33"/>
      <c r="E51" s="49" t="s">
        <v>57</v>
      </c>
      <c r="F51" s="112"/>
      <c r="G51" s="51">
        <f t="shared" ref="G51" si="5">B51*C51</f>
        <v>0</v>
      </c>
      <c r="H51" s="2"/>
      <c r="I51" s="2"/>
    </row>
    <row r="52" spans="1:13" ht="12.75" customHeight="1" x14ac:dyDescent="0.25">
      <c r="A52" s="52"/>
      <c r="B52" s="10"/>
      <c r="C52" s="50">
        <v>0</v>
      </c>
      <c r="D52" s="46"/>
      <c r="E52" s="47"/>
      <c r="F52" s="361"/>
      <c r="G52" s="220">
        <f t="shared" si="4"/>
        <v>0</v>
      </c>
      <c r="H52" s="2"/>
      <c r="I52" s="2"/>
    </row>
    <row r="53" spans="1:13" ht="12.75" customHeight="1" thickBot="1" x14ac:dyDescent="0.3">
      <c r="A53" s="18"/>
      <c r="B53" s="6"/>
      <c r="C53" s="16">
        <v>0</v>
      </c>
      <c r="D53" s="40"/>
      <c r="E53" s="17"/>
      <c r="F53" s="362"/>
      <c r="G53" s="126">
        <f t="shared" si="4"/>
        <v>0</v>
      </c>
      <c r="H53" s="2"/>
      <c r="I53" s="2"/>
    </row>
    <row r="54" spans="1:13" ht="12.75" customHeight="1" x14ac:dyDescent="0.25">
      <c r="A54" s="2"/>
      <c r="B54" s="101"/>
      <c r="C54" s="100"/>
      <c r="D54" s="100"/>
      <c r="E54" s="100"/>
      <c r="F54" s="2"/>
      <c r="G54" s="2"/>
      <c r="H54" s="2"/>
      <c r="I54" s="2"/>
    </row>
    <row r="55" spans="1:13" x14ac:dyDescent="0.25">
      <c r="A55" s="2"/>
      <c r="B55" s="130"/>
      <c r="C55" s="100"/>
      <c r="D55" s="100"/>
      <c r="E55" s="100"/>
      <c r="F55" s="127" t="s">
        <v>94</v>
      </c>
      <c r="G55" s="54">
        <f>SUM(G14:G53)</f>
        <v>0</v>
      </c>
      <c r="H55" s="2"/>
      <c r="I55" s="2"/>
      <c r="K55" s="138"/>
      <c r="L55" s="138"/>
      <c r="M55" s="127"/>
    </row>
    <row r="56" spans="1:13" x14ac:dyDescent="0.25">
      <c r="A56" s="2"/>
      <c r="B56" s="101"/>
      <c r="C56" s="129"/>
      <c r="D56" s="129"/>
      <c r="E56" s="100"/>
      <c r="F56" s="127" t="s">
        <v>222</v>
      </c>
      <c r="G56" s="55">
        <f>0.15*G55</f>
        <v>0</v>
      </c>
      <c r="H56" s="2"/>
      <c r="I56" s="2"/>
      <c r="K56" s="244"/>
      <c r="L56" s="138"/>
      <c r="M56" s="127"/>
    </row>
    <row r="57" spans="1:13" x14ac:dyDescent="0.25">
      <c r="A57" s="130"/>
      <c r="B57" s="101"/>
      <c r="C57" s="100"/>
      <c r="D57" s="100"/>
      <c r="E57" s="100"/>
      <c r="F57" s="127" t="s">
        <v>124</v>
      </c>
      <c r="G57" s="55">
        <f>0.12*(G55+G56)</f>
        <v>0</v>
      </c>
      <c r="H57" s="2"/>
      <c r="I57" s="2"/>
      <c r="K57" s="138"/>
      <c r="L57" s="138"/>
      <c r="M57" s="127"/>
    </row>
    <row r="58" spans="1:13" ht="13" thickBot="1" x14ac:dyDescent="0.3">
      <c r="A58" s="2"/>
      <c r="B58" s="101"/>
      <c r="C58" s="100"/>
      <c r="D58" s="100"/>
      <c r="E58" s="100"/>
      <c r="F58" s="127" t="s">
        <v>216</v>
      </c>
      <c r="G58" s="55">
        <f>SUM(G55:G57)</f>
        <v>0</v>
      </c>
      <c r="H58" s="2"/>
      <c r="I58" s="2"/>
      <c r="K58" s="138"/>
      <c r="L58" s="138"/>
      <c r="M58" s="127"/>
    </row>
    <row r="59" spans="1:13" ht="13.5" thickBot="1" x14ac:dyDescent="0.35">
      <c r="A59" s="2"/>
      <c r="B59" s="101"/>
      <c r="C59" s="100"/>
      <c r="D59" s="100"/>
      <c r="E59" s="100"/>
      <c r="F59" s="131" t="s">
        <v>279</v>
      </c>
      <c r="G59" s="56">
        <f>ROUNDUP(G58,-2)</f>
        <v>0</v>
      </c>
      <c r="H59" s="2"/>
      <c r="I59" s="2"/>
      <c r="K59" s="138"/>
      <c r="L59" s="138"/>
      <c r="M59" s="127"/>
    </row>
    <row r="60" spans="1:13" ht="13" x14ac:dyDescent="0.3">
      <c r="A60" s="2"/>
      <c r="B60" s="101"/>
      <c r="C60" s="100"/>
      <c r="D60" s="100"/>
      <c r="E60" s="132"/>
      <c r="F60" s="2"/>
      <c r="G60" s="133" t="s">
        <v>250</v>
      </c>
      <c r="H60" s="2"/>
      <c r="I60" s="2"/>
      <c r="K60" s="138"/>
      <c r="L60" s="138"/>
      <c r="M60" s="131"/>
    </row>
    <row r="61" spans="1:13" x14ac:dyDescent="0.25">
      <c r="A61" s="2"/>
      <c r="B61" s="101"/>
      <c r="C61" s="100"/>
      <c r="D61" s="100"/>
      <c r="E61" s="132"/>
      <c r="F61" s="2"/>
      <c r="G61" s="130"/>
      <c r="H61" s="2"/>
      <c r="I61" s="2"/>
    </row>
    <row r="62" spans="1:13" x14ac:dyDescent="0.25">
      <c r="A62" s="2"/>
      <c r="B62" s="132"/>
      <c r="C62" s="132"/>
      <c r="D62" s="132"/>
      <c r="E62" s="132"/>
      <c r="F62" s="2"/>
      <c r="G62" s="130"/>
      <c r="H62" s="2"/>
      <c r="I62" s="2"/>
    </row>
    <row r="63" spans="1:13" x14ac:dyDescent="0.25">
      <c r="A63" s="134"/>
      <c r="B63" s="363"/>
      <c r="C63" s="136"/>
      <c r="D63" s="136"/>
      <c r="E63" s="136"/>
      <c r="F63" s="122"/>
      <c r="G63" s="123"/>
      <c r="H63" s="2"/>
      <c r="I63" s="2"/>
    </row>
    <row r="64" spans="1:13" ht="13" x14ac:dyDescent="0.25">
      <c r="A64" s="364" t="s">
        <v>235</v>
      </c>
      <c r="B64" s="101"/>
      <c r="C64" s="138"/>
      <c r="D64" s="138"/>
      <c r="E64" s="138"/>
      <c r="F64" s="2"/>
      <c r="G64" s="139"/>
      <c r="H64" s="2"/>
      <c r="I64" s="2"/>
    </row>
    <row r="65" spans="1:10" ht="13" thickBot="1" x14ac:dyDescent="0.3">
      <c r="A65" s="140"/>
      <c r="B65" s="101"/>
      <c r="C65" s="138"/>
      <c r="D65" s="138"/>
      <c r="E65" s="138"/>
      <c r="F65" s="2"/>
      <c r="G65" s="139"/>
      <c r="H65" s="2"/>
      <c r="I65" s="2"/>
    </row>
    <row r="66" spans="1:10" ht="13.5" thickBot="1" x14ac:dyDescent="0.35">
      <c r="A66" s="365" t="s">
        <v>0</v>
      </c>
      <c r="B66" s="366" t="s">
        <v>1</v>
      </c>
      <c r="C66" s="542" t="s">
        <v>2</v>
      </c>
      <c r="D66" s="543"/>
      <c r="E66" s="543"/>
      <c r="F66" s="544"/>
      <c r="G66" s="367" t="s">
        <v>3</v>
      </c>
      <c r="H66" s="2"/>
      <c r="I66" s="2"/>
    </row>
    <row r="67" spans="1:10" ht="13" thickBot="1" x14ac:dyDescent="0.3">
      <c r="A67" s="368" t="s">
        <v>236</v>
      </c>
      <c r="B67" s="412"/>
      <c r="C67" s="57">
        <f>ROUND((1+Instructions!$D$6/100)*554.709723,2)</f>
        <v>562.65</v>
      </c>
      <c r="D67" s="369"/>
      <c r="E67" s="370" t="s">
        <v>57</v>
      </c>
      <c r="F67" s="371"/>
      <c r="G67" s="61">
        <f>B67*C67</f>
        <v>0</v>
      </c>
      <c r="H67" s="2"/>
      <c r="I67" s="2"/>
    </row>
    <row r="68" spans="1:10" x14ac:dyDescent="0.25">
      <c r="A68" s="140"/>
      <c r="B68" s="2"/>
      <c r="C68" s="2"/>
      <c r="D68" s="2"/>
      <c r="E68" s="2"/>
      <c r="G68" s="139"/>
      <c r="H68" s="2"/>
      <c r="I68" s="2"/>
    </row>
    <row r="69" spans="1:10" x14ac:dyDescent="0.25">
      <c r="A69" s="140"/>
      <c r="B69" s="138"/>
      <c r="C69" s="138"/>
      <c r="D69" s="138"/>
      <c r="F69" s="127" t="s">
        <v>280</v>
      </c>
      <c r="G69" s="54">
        <f>G67</f>
        <v>0</v>
      </c>
      <c r="H69" s="2"/>
      <c r="I69" s="2"/>
    </row>
    <row r="70" spans="1:10" x14ac:dyDescent="0.25">
      <c r="A70" s="140"/>
      <c r="B70" s="244"/>
      <c r="C70" s="138"/>
      <c r="D70" s="138"/>
      <c r="F70" s="127" t="s">
        <v>281</v>
      </c>
      <c r="G70" s="58">
        <f>0.15*G69</f>
        <v>0</v>
      </c>
      <c r="H70" s="2"/>
      <c r="I70" s="2"/>
    </row>
    <row r="71" spans="1:10" x14ac:dyDescent="0.25">
      <c r="A71" s="140"/>
      <c r="B71" s="138"/>
      <c r="C71" s="138"/>
      <c r="D71" s="138"/>
      <c r="F71" s="127" t="s">
        <v>282</v>
      </c>
      <c r="G71" s="54">
        <f>0.12*(G69+G70)</f>
        <v>0</v>
      </c>
      <c r="H71" s="2"/>
      <c r="I71" s="2"/>
    </row>
    <row r="72" spans="1:10" ht="13" thickBot="1" x14ac:dyDescent="0.3">
      <c r="A72" s="140"/>
      <c r="B72" s="138"/>
      <c r="C72" s="138"/>
      <c r="D72" s="138"/>
      <c r="E72" s="127"/>
      <c r="F72" s="127" t="s">
        <v>283</v>
      </c>
      <c r="G72" s="59">
        <f>SUM(G69:G71)</f>
        <v>0</v>
      </c>
      <c r="H72" s="2"/>
      <c r="I72" s="2"/>
    </row>
    <row r="73" spans="1:10" ht="13.5" thickBot="1" x14ac:dyDescent="0.35">
      <c r="A73" s="140"/>
      <c r="B73" s="138"/>
      <c r="C73" s="138"/>
      <c r="D73" s="138"/>
      <c r="F73" s="131" t="s">
        <v>284</v>
      </c>
      <c r="G73" s="60">
        <f>ROUNDUP(SUM(G69:G71),-2)</f>
        <v>0</v>
      </c>
      <c r="H73" s="2"/>
      <c r="I73" s="2"/>
    </row>
    <row r="74" spans="1:10" x14ac:dyDescent="0.25">
      <c r="A74" s="143"/>
      <c r="B74" s="144"/>
      <c r="C74" s="145"/>
      <c r="D74" s="145"/>
      <c r="E74" s="145"/>
      <c r="F74" s="372"/>
      <c r="G74" s="373" t="s">
        <v>250</v>
      </c>
      <c r="H74" s="2"/>
      <c r="I74" s="2"/>
    </row>
    <row r="75" spans="1:10" x14ac:dyDescent="0.25">
      <c r="A75" s="2"/>
      <c r="B75" s="101"/>
      <c r="C75" s="100"/>
      <c r="D75" s="100"/>
      <c r="E75" s="100"/>
      <c r="F75" s="2"/>
      <c r="G75" s="2"/>
      <c r="H75" s="2"/>
      <c r="I75" s="2"/>
    </row>
    <row r="76" spans="1:10" ht="14" x14ac:dyDescent="0.3">
      <c r="A76" s="374"/>
      <c r="B76" s="375"/>
      <c r="C76" s="376"/>
      <c r="D76" s="376"/>
      <c r="E76" s="376"/>
      <c r="F76" s="376"/>
      <c r="G76" s="377"/>
      <c r="H76" s="376"/>
      <c r="I76" s="376"/>
      <c r="J76" s="376"/>
    </row>
  </sheetData>
  <sheetProtection algorithmName="SHA-512" hashValue="I4sb5r4iMwBvi7LgEW4gx79dlDohu5HFLsLE+YbJPOBNIm4I3RrZ040FcEa4ZzGRaciyiwJ18NEOmcDatRwUGw==" saltValue="ixV6V8PooFrN0cUbIBy7wA==" spinCount="100000" sheet="1" insertRows="0" selectLockedCells="1"/>
  <customSheetViews>
    <customSheetView guid="{0CFDFAE3-BA5A-49B1-8AEF-ACE06B5A41A2}">
      <rowBreaks count="1" manualBreakCount="1">
        <brk id="59" max="5" man="1"/>
      </rowBreaks>
      <pageMargins left="0" right="0" top="0.51" bottom="0.4" header="0.23" footer="0.17"/>
      <printOptions horizontalCentered="1"/>
      <pageSetup scale="97" orientation="portrait" r:id="rId1"/>
      <headerFooter alignWithMargins="0">
        <oddFooter>&amp;LFees Effective 07/01/2011&amp;RPage &amp;P of &amp;N</oddFooter>
      </headerFooter>
    </customSheetView>
  </customSheetViews>
  <mergeCells count="3">
    <mergeCell ref="C11:F11"/>
    <mergeCell ref="C12:E12"/>
    <mergeCell ref="C66:F66"/>
  </mergeCells>
  <phoneticPr fontId="0" type="noConversion"/>
  <printOptions horizontalCentered="1"/>
  <pageMargins left="0.25" right="0.25" top="0.25" bottom="0.25" header="0.3" footer="0.3"/>
  <pageSetup scale="97" orientation="portrait" r:id="rId2"/>
  <headerFooter alignWithMargins="0">
    <oddFooter>&amp;LFees Effective 07/01/2025&amp;RPage &amp;P of &amp;N</oddFooter>
  </headerFooter>
  <rowBreaks count="1" manualBreakCount="1">
    <brk id="60" max="5"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Y36"/>
  <sheetViews>
    <sheetView zoomScale="115" zoomScaleNormal="115" workbookViewId="0">
      <selection activeCell="C19" sqref="C19"/>
    </sheetView>
  </sheetViews>
  <sheetFormatPr defaultRowHeight="12.5" x14ac:dyDescent="0.25"/>
  <cols>
    <col min="2" max="2" width="9.6328125" bestFit="1" customWidth="1"/>
    <col min="3" max="3" width="13.36328125" customWidth="1"/>
    <col min="4" max="4" width="13.54296875" customWidth="1"/>
    <col min="5" max="5" width="8.08984375" customWidth="1"/>
    <col min="7" max="7" width="11.90625" customWidth="1"/>
    <col min="8" max="8" width="12.90625" customWidth="1"/>
  </cols>
  <sheetData>
    <row r="2" spans="1:25" ht="185.25" customHeight="1" x14ac:dyDescent="0.25">
      <c r="I2" s="546" t="s">
        <v>535</v>
      </c>
      <c r="J2" s="546"/>
      <c r="K2" s="546"/>
      <c r="L2" s="546"/>
      <c r="M2" s="546"/>
      <c r="N2" s="546"/>
      <c r="O2" s="546"/>
      <c r="P2" s="546"/>
      <c r="Q2" s="546"/>
      <c r="R2" s="546"/>
      <c r="S2" s="546"/>
      <c r="T2" s="546"/>
      <c r="U2" s="546"/>
      <c r="V2" s="546"/>
      <c r="W2" s="546"/>
      <c r="X2" s="546"/>
      <c r="Y2" s="546"/>
    </row>
    <row r="3" spans="1:25" x14ac:dyDescent="0.25">
      <c r="I3" s="41" t="s">
        <v>532</v>
      </c>
    </row>
    <row r="4" spans="1:25" x14ac:dyDescent="0.25">
      <c r="B4" s="547" t="s">
        <v>498</v>
      </c>
      <c r="C4" s="547"/>
      <c r="D4" s="547"/>
      <c r="F4" s="547" t="s">
        <v>499</v>
      </c>
      <c r="G4" s="547"/>
      <c r="H4" s="547"/>
    </row>
    <row r="5" spans="1:25" ht="25" x14ac:dyDescent="0.25">
      <c r="A5" s="32"/>
      <c r="B5" s="34" t="s">
        <v>500</v>
      </c>
      <c r="C5" s="34" t="s">
        <v>433</v>
      </c>
      <c r="D5" s="35" t="s">
        <v>501</v>
      </c>
      <c r="F5" s="34" t="s">
        <v>500</v>
      </c>
      <c r="G5" s="34" t="s">
        <v>433</v>
      </c>
      <c r="H5" s="35" t="s">
        <v>501</v>
      </c>
      <c r="L5" s="545"/>
      <c r="M5" s="545"/>
      <c r="N5" s="545"/>
    </row>
    <row r="6" spans="1:25" ht="13" x14ac:dyDescent="0.3">
      <c r="B6" s="36"/>
      <c r="C6" s="36"/>
      <c r="D6" s="1">
        <f>PRODUCT(D7:D36)</f>
        <v>1.4313889766763388</v>
      </c>
      <c r="F6" s="36"/>
      <c r="G6" s="36"/>
      <c r="H6" s="1">
        <f>PRODUCT(H7:H36)</f>
        <v>1.4291139861516877</v>
      </c>
    </row>
    <row r="7" spans="1:25" x14ac:dyDescent="0.25">
      <c r="B7" s="37" t="s">
        <v>502</v>
      </c>
      <c r="C7" s="39">
        <v>1.4</v>
      </c>
      <c r="D7" s="37">
        <f>1+C7/100</f>
        <v>1.014</v>
      </c>
      <c r="F7" s="37" t="s">
        <v>502</v>
      </c>
      <c r="G7" s="39">
        <v>1</v>
      </c>
      <c r="H7" s="37">
        <f>1+G7/100</f>
        <v>1.01</v>
      </c>
    </row>
    <row r="8" spans="1:25" x14ac:dyDescent="0.25">
      <c r="B8" s="36" t="s">
        <v>503</v>
      </c>
      <c r="C8" s="38">
        <v>1.3009999999999999</v>
      </c>
      <c r="D8" s="37">
        <f t="shared" ref="D8:D36" si="0">1+C8/100</f>
        <v>1.01301</v>
      </c>
      <c r="F8" s="36" t="s">
        <v>503</v>
      </c>
      <c r="G8" s="38">
        <v>1.2470000000000001</v>
      </c>
      <c r="H8" s="37">
        <f t="shared" ref="H8:H36" si="1">1+G8/100</f>
        <v>1.01247</v>
      </c>
    </row>
    <row r="9" spans="1:25" x14ac:dyDescent="0.25">
      <c r="B9" s="36" t="s">
        <v>504</v>
      </c>
      <c r="C9" s="38">
        <v>1.8</v>
      </c>
      <c r="D9" s="37">
        <f t="shared" si="0"/>
        <v>1.018</v>
      </c>
      <c r="F9" s="36" t="s">
        <v>504</v>
      </c>
      <c r="G9" s="38">
        <v>1.7</v>
      </c>
      <c r="H9" s="37">
        <f t="shared" si="1"/>
        <v>1.0169999999999999</v>
      </c>
    </row>
    <row r="10" spans="1:25" x14ac:dyDescent="0.25">
      <c r="B10" s="36" t="s">
        <v>505</v>
      </c>
      <c r="C10" s="38">
        <v>2.5</v>
      </c>
      <c r="D10" s="37">
        <f t="shared" si="0"/>
        <v>1.0249999999999999</v>
      </c>
      <c r="F10" s="36" t="s">
        <v>505</v>
      </c>
      <c r="G10" s="38">
        <v>2.7</v>
      </c>
      <c r="H10" s="37">
        <f t="shared" si="1"/>
        <v>1.0269999999999999</v>
      </c>
    </row>
    <row r="11" spans="1:25" x14ac:dyDescent="0.25">
      <c r="B11" s="36" t="s">
        <v>506</v>
      </c>
      <c r="C11" s="38">
        <v>3.6</v>
      </c>
      <c r="D11" s="37">
        <f t="shared" si="0"/>
        <v>1.036</v>
      </c>
      <c r="F11" s="36" t="s">
        <v>506</v>
      </c>
      <c r="G11" s="38">
        <v>3.8</v>
      </c>
      <c r="H11" s="37">
        <f t="shared" si="1"/>
        <v>1.038</v>
      </c>
    </row>
    <row r="12" spans="1:25" x14ac:dyDescent="0.25">
      <c r="B12" s="36" t="s">
        <v>507</v>
      </c>
      <c r="C12" s="38">
        <v>2.7</v>
      </c>
      <c r="D12" s="37">
        <f t="shared" si="0"/>
        <v>1.0269999999999999</v>
      </c>
      <c r="F12" s="36" t="s">
        <v>507</v>
      </c>
      <c r="G12" s="38">
        <v>2.7</v>
      </c>
      <c r="H12" s="37">
        <f t="shared" si="1"/>
        <v>1.0269999999999999</v>
      </c>
    </row>
    <row r="13" spans="1:25" x14ac:dyDescent="0.25">
      <c r="B13" s="36" t="s">
        <v>508</v>
      </c>
      <c r="C13" s="38">
        <v>1.9</v>
      </c>
      <c r="D13" s="37">
        <f t="shared" si="0"/>
        <v>1.0189999999999999</v>
      </c>
      <c r="F13" s="36" t="s">
        <v>508</v>
      </c>
      <c r="G13" s="38">
        <v>1.9</v>
      </c>
      <c r="H13" s="37">
        <f t="shared" si="1"/>
        <v>1.0189999999999999</v>
      </c>
    </row>
    <row r="14" spans="1:25" x14ac:dyDescent="0.25">
      <c r="B14" s="36" t="s">
        <v>509</v>
      </c>
      <c r="C14" s="38">
        <v>2.2000000000000002</v>
      </c>
      <c r="D14" s="37">
        <f t="shared" si="0"/>
        <v>1.022</v>
      </c>
      <c r="F14" s="36" t="s">
        <v>509</v>
      </c>
      <c r="G14" s="38">
        <v>2.2000000000000002</v>
      </c>
      <c r="H14" s="37">
        <f t="shared" si="1"/>
        <v>1.022</v>
      </c>
    </row>
    <row r="15" spans="1:25" x14ac:dyDescent="0.25">
      <c r="B15" s="36" t="s">
        <v>510</v>
      </c>
      <c r="C15" s="38">
        <v>8.5</v>
      </c>
      <c r="D15" s="37">
        <f t="shared" si="0"/>
        <v>1.085</v>
      </c>
      <c r="F15" s="36" t="s">
        <v>510</v>
      </c>
      <c r="G15" s="38">
        <v>8.5</v>
      </c>
      <c r="H15" s="37">
        <f t="shared" si="1"/>
        <v>1.085</v>
      </c>
    </row>
    <row r="16" spans="1:25" x14ac:dyDescent="0.25">
      <c r="B16" s="36" t="s">
        <v>511</v>
      </c>
      <c r="C16" s="38">
        <v>3.7</v>
      </c>
      <c r="D16" s="37">
        <f t="shared" si="0"/>
        <v>1.0369999999999999</v>
      </c>
      <c r="F16" s="36" t="s">
        <v>511</v>
      </c>
      <c r="G16" s="38">
        <v>3.7</v>
      </c>
      <c r="H16" s="37">
        <f t="shared" si="1"/>
        <v>1.0369999999999999</v>
      </c>
    </row>
    <row r="17" spans="2:19" x14ac:dyDescent="0.25">
      <c r="B17" s="36" t="s">
        <v>512</v>
      </c>
      <c r="C17" s="38">
        <v>4</v>
      </c>
      <c r="D17" s="37">
        <f t="shared" si="0"/>
        <v>1.04</v>
      </c>
      <c r="F17" s="36" t="s">
        <v>512</v>
      </c>
      <c r="G17" s="38">
        <v>4</v>
      </c>
      <c r="H17" s="37">
        <f t="shared" si="1"/>
        <v>1.04</v>
      </c>
    </row>
    <row r="18" spans="2:19" x14ac:dyDescent="0.25">
      <c r="B18" s="36" t="s">
        <v>513</v>
      </c>
      <c r="C18" s="38">
        <v>3</v>
      </c>
      <c r="D18" s="37">
        <f t="shared" si="0"/>
        <v>1.03</v>
      </c>
      <c r="F18" s="36" t="s">
        <v>513</v>
      </c>
      <c r="G18" s="477">
        <v>3</v>
      </c>
      <c r="H18" s="37">
        <f t="shared" si="1"/>
        <v>1.03</v>
      </c>
    </row>
    <row r="19" spans="2:19" x14ac:dyDescent="0.25">
      <c r="B19" s="36" t="s">
        <v>514</v>
      </c>
      <c r="C19" s="38"/>
      <c r="D19" s="37">
        <f t="shared" si="0"/>
        <v>1</v>
      </c>
      <c r="F19" s="36" t="s">
        <v>514</v>
      </c>
      <c r="G19" s="38"/>
      <c r="H19" s="37">
        <f t="shared" si="1"/>
        <v>1</v>
      </c>
      <c r="S19" s="2"/>
    </row>
    <row r="20" spans="2:19" x14ac:dyDescent="0.25">
      <c r="B20" s="36" t="s">
        <v>515</v>
      </c>
      <c r="C20" s="38"/>
      <c r="D20" s="37">
        <f t="shared" si="0"/>
        <v>1</v>
      </c>
      <c r="F20" s="36" t="s">
        <v>515</v>
      </c>
      <c r="G20" s="38"/>
      <c r="H20" s="37">
        <f t="shared" si="1"/>
        <v>1</v>
      </c>
      <c r="S20" s="2"/>
    </row>
    <row r="21" spans="2:19" x14ac:dyDescent="0.25">
      <c r="B21" s="36" t="s">
        <v>516</v>
      </c>
      <c r="C21" s="38"/>
      <c r="D21" s="37">
        <f t="shared" si="0"/>
        <v>1</v>
      </c>
      <c r="F21" s="36" t="s">
        <v>516</v>
      </c>
      <c r="G21" s="38"/>
      <c r="H21" s="37">
        <f t="shared" si="1"/>
        <v>1</v>
      </c>
    </row>
    <row r="22" spans="2:19" x14ac:dyDescent="0.25">
      <c r="B22" s="36" t="s">
        <v>517</v>
      </c>
      <c r="C22" s="38"/>
      <c r="D22" s="37">
        <f t="shared" si="0"/>
        <v>1</v>
      </c>
      <c r="F22" s="36" t="s">
        <v>517</v>
      </c>
      <c r="G22" s="38"/>
      <c r="H22" s="37">
        <f t="shared" si="1"/>
        <v>1</v>
      </c>
    </row>
    <row r="23" spans="2:19" x14ac:dyDescent="0.25">
      <c r="B23" s="36" t="s">
        <v>518</v>
      </c>
      <c r="C23" s="38"/>
      <c r="D23" s="37">
        <f t="shared" si="0"/>
        <v>1</v>
      </c>
      <c r="F23" s="36" t="s">
        <v>518</v>
      </c>
      <c r="G23" s="38"/>
      <c r="H23" s="37">
        <f t="shared" si="1"/>
        <v>1</v>
      </c>
    </row>
    <row r="24" spans="2:19" x14ac:dyDescent="0.25">
      <c r="B24" s="36" t="s">
        <v>519</v>
      </c>
      <c r="C24" s="38"/>
      <c r="D24" s="37">
        <f t="shared" si="0"/>
        <v>1</v>
      </c>
      <c r="F24" s="36" t="s">
        <v>519</v>
      </c>
      <c r="G24" s="38"/>
      <c r="H24" s="37">
        <f t="shared" si="1"/>
        <v>1</v>
      </c>
    </row>
    <row r="25" spans="2:19" x14ac:dyDescent="0.25">
      <c r="B25" s="36" t="s">
        <v>520</v>
      </c>
      <c r="C25" s="38"/>
      <c r="D25" s="37">
        <f t="shared" si="0"/>
        <v>1</v>
      </c>
      <c r="F25" s="36" t="s">
        <v>520</v>
      </c>
      <c r="G25" s="38"/>
      <c r="H25" s="37">
        <f t="shared" si="1"/>
        <v>1</v>
      </c>
      <c r="S25" s="2"/>
    </row>
    <row r="26" spans="2:19" x14ac:dyDescent="0.25">
      <c r="B26" s="36" t="s">
        <v>521</v>
      </c>
      <c r="C26" s="38"/>
      <c r="D26" s="37">
        <f t="shared" si="0"/>
        <v>1</v>
      </c>
      <c r="F26" s="36" t="s">
        <v>521</v>
      </c>
      <c r="G26" s="38"/>
      <c r="H26" s="37">
        <f t="shared" si="1"/>
        <v>1</v>
      </c>
      <c r="S26" s="2"/>
    </row>
    <row r="27" spans="2:19" x14ac:dyDescent="0.25">
      <c r="B27" s="36" t="s">
        <v>522</v>
      </c>
      <c r="C27" s="38"/>
      <c r="D27" s="37">
        <f t="shared" si="0"/>
        <v>1</v>
      </c>
      <c r="F27" s="36" t="s">
        <v>522</v>
      </c>
      <c r="G27" s="38"/>
      <c r="H27" s="37">
        <f t="shared" si="1"/>
        <v>1</v>
      </c>
    </row>
    <row r="28" spans="2:19" x14ac:dyDescent="0.25">
      <c r="B28" s="36" t="s">
        <v>523</v>
      </c>
      <c r="C28" s="38"/>
      <c r="D28" s="37">
        <f t="shared" si="0"/>
        <v>1</v>
      </c>
      <c r="F28" s="36" t="s">
        <v>523</v>
      </c>
      <c r="G28" s="38"/>
      <c r="H28" s="37">
        <f t="shared" si="1"/>
        <v>1</v>
      </c>
    </row>
    <row r="29" spans="2:19" x14ac:dyDescent="0.25">
      <c r="B29" s="36" t="s">
        <v>524</v>
      </c>
      <c r="C29" s="38"/>
      <c r="D29" s="37">
        <f t="shared" si="0"/>
        <v>1</v>
      </c>
      <c r="F29" s="36" t="s">
        <v>524</v>
      </c>
      <c r="G29" s="38"/>
      <c r="H29" s="37">
        <f t="shared" si="1"/>
        <v>1</v>
      </c>
    </row>
    <row r="30" spans="2:19" x14ac:dyDescent="0.25">
      <c r="B30" s="36" t="s">
        <v>525</v>
      </c>
      <c r="C30" s="38"/>
      <c r="D30" s="37">
        <f t="shared" si="0"/>
        <v>1</v>
      </c>
      <c r="F30" s="36" t="s">
        <v>525</v>
      </c>
      <c r="G30" s="38"/>
      <c r="H30" s="37">
        <f t="shared" si="1"/>
        <v>1</v>
      </c>
    </row>
    <row r="31" spans="2:19" x14ac:dyDescent="0.25">
      <c r="B31" s="36" t="s">
        <v>526</v>
      </c>
      <c r="C31" s="38"/>
      <c r="D31" s="37">
        <f t="shared" si="0"/>
        <v>1</v>
      </c>
      <c r="F31" s="36" t="s">
        <v>526</v>
      </c>
      <c r="G31" s="38"/>
      <c r="H31" s="37">
        <f t="shared" si="1"/>
        <v>1</v>
      </c>
    </row>
    <row r="32" spans="2:19" x14ac:dyDescent="0.25">
      <c r="B32" t="s">
        <v>527</v>
      </c>
      <c r="C32" s="38"/>
      <c r="D32" s="37">
        <f t="shared" si="0"/>
        <v>1</v>
      </c>
      <c r="F32" t="s">
        <v>527</v>
      </c>
      <c r="G32" s="38"/>
      <c r="H32" s="37">
        <f t="shared" si="1"/>
        <v>1</v>
      </c>
    </row>
    <row r="33" spans="2:8" x14ac:dyDescent="0.25">
      <c r="B33" t="s">
        <v>528</v>
      </c>
      <c r="C33" s="38"/>
      <c r="D33" s="37">
        <f t="shared" si="0"/>
        <v>1</v>
      </c>
      <c r="F33" t="s">
        <v>528</v>
      </c>
      <c r="G33" s="38"/>
      <c r="H33" s="37">
        <f t="shared" si="1"/>
        <v>1</v>
      </c>
    </row>
    <row r="34" spans="2:8" x14ac:dyDescent="0.25">
      <c r="B34" t="s">
        <v>529</v>
      </c>
      <c r="C34" s="38"/>
      <c r="D34" s="37">
        <f t="shared" si="0"/>
        <v>1</v>
      </c>
      <c r="F34" t="s">
        <v>529</v>
      </c>
      <c r="G34" s="38"/>
      <c r="H34" s="37">
        <f t="shared" si="1"/>
        <v>1</v>
      </c>
    </row>
    <row r="35" spans="2:8" x14ac:dyDescent="0.25">
      <c r="B35" t="s">
        <v>530</v>
      </c>
      <c r="C35" s="38"/>
      <c r="D35" s="37">
        <f t="shared" si="0"/>
        <v>1</v>
      </c>
      <c r="F35" t="s">
        <v>530</v>
      </c>
      <c r="G35" s="38"/>
      <c r="H35" s="37">
        <f t="shared" si="1"/>
        <v>1</v>
      </c>
    </row>
    <row r="36" spans="2:8" x14ac:dyDescent="0.25">
      <c r="B36" t="s">
        <v>531</v>
      </c>
      <c r="C36" s="38"/>
      <c r="D36" s="37">
        <f t="shared" si="0"/>
        <v>1</v>
      </c>
      <c r="F36" t="s">
        <v>531</v>
      </c>
      <c r="G36" s="38"/>
      <c r="H36" s="37">
        <f t="shared" si="1"/>
        <v>1</v>
      </c>
    </row>
  </sheetData>
  <customSheetViews>
    <customSheetView guid="{0CFDFAE3-BA5A-49B1-8AEF-ACE06B5A41A2}">
      <selection sqref="A1:C1"/>
      <pageMargins left="0.7" right="0.7" top="0.75" bottom="0.75" header="0.3" footer="0.3"/>
    </customSheetView>
  </customSheetViews>
  <mergeCells count="4">
    <mergeCell ref="L5:N5"/>
    <mergeCell ref="I2:Y2"/>
    <mergeCell ref="F4:H4"/>
    <mergeCell ref="B4:D4"/>
  </mergeCells>
  <hyperlinks>
    <hyperlink ref="I3" r:id="rId1" xr:uid="{00000000-0004-0000-0800-000000000000}"/>
  </hyperlinks>
  <pageMargins left="0.7" right="0.7" top="0.75" bottom="0.75" header="0.3" footer="0.3"/>
  <pageSetup orientation="portrait" r:id="rId2"/>
</worksheet>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Title Sheet</vt:lpstr>
      <vt:lpstr>Street Bond and Plan Check</vt:lpstr>
      <vt:lpstr>Signing and Striping</vt:lpstr>
      <vt:lpstr>Grading Bond and Plan Check Fee</vt:lpstr>
      <vt:lpstr>PD&amp;MTD Bond and Plan Check Fee</vt:lpstr>
      <vt:lpstr>Sewer Bond and Plan Check Fee</vt:lpstr>
      <vt:lpstr>Water Bond and Plan Check Fee</vt:lpstr>
      <vt:lpstr>Regional Planning</vt:lpstr>
      <vt:lpstr>Instructions</vt:lpstr>
      <vt:lpstr>CPI</vt:lpstr>
      <vt:lpstr>CPIWAT</vt:lpstr>
      <vt:lpstr>'PD&amp;MTD Bond and Plan Check Fee'!OLE_LINK1</vt:lpstr>
      <vt:lpstr>'Sewer Bond and Plan Check Fee'!OLE_LINK1</vt:lpstr>
      <vt:lpstr>'Street Bond and Plan Check'!OLE_LINK1</vt:lpstr>
      <vt:lpstr>'Water Bond and Plan Check Fee'!OLE_LINK1</vt:lpstr>
      <vt:lpstr>'PD&amp;MTD Bond and Plan Check Fee'!Print_Area</vt:lpstr>
      <vt:lpstr>'Regional Planning'!Print_Area</vt:lpstr>
      <vt:lpstr>'Sewer Bond and Plan Check Fee'!Print_Area</vt:lpstr>
      <vt:lpstr>'Water Bond and Plan Check Fee'!Print_Area</vt:lpstr>
      <vt:lpstr>'PD&amp;MTD Bond and Plan Check Fee'!Print_Titles</vt:lpstr>
      <vt:lpstr>'Regional Planning'!Print_Titles</vt:lpstr>
      <vt:lpstr>'Sewer Bond and Plan Check Fee'!Print_Titles</vt:lpstr>
      <vt:lpstr>'Signing and Striping'!Print_Titles</vt:lpstr>
      <vt:lpstr>'Street Bond and Plan Check'!Print_Titles</vt:lpstr>
      <vt:lpstr>'Water Bond and Plan Check Fee'!Print_Titles</vt:lpstr>
    </vt:vector>
  </TitlesOfParts>
  <Company>Los Angeles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AIBRAHIM</dc:creator>
  <cp:lastModifiedBy>Diego Rivera</cp:lastModifiedBy>
  <cp:lastPrinted>2025-06-30T20:23:17Z</cp:lastPrinted>
  <dcterms:created xsi:type="dcterms:W3CDTF">2000-07-06T20:02:35Z</dcterms:created>
  <dcterms:modified xsi:type="dcterms:W3CDTF">2025-11-03T20:57:03Z</dcterms:modified>
</cp:coreProperties>
</file>